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评估明细表" sheetId="4" r:id="rId1"/>
    <sheet name="计算过程" sheetId="7" state="hidden" r:id="rId2"/>
    <sheet name="计算过程 (2)" sheetId="9" state="hidden" r:id="rId3"/>
    <sheet name="评估明细表 (2)" sheetId="8" state="hidden" r:id="rId4"/>
    <sheet name="Sheet1" sheetId="5" state="hidden" r:id="rId5"/>
    <sheet name="有计算式" sheetId="3" state="hidden" r:id="rId6"/>
  </sheets>
  <definedNames>
    <definedName name="_xlnm._FilterDatabase" localSheetId="0" hidden="1">评估明细表!$B$2:$J$133</definedName>
    <definedName name="_xlnm._FilterDatabase" localSheetId="1" hidden="1">计算过程!$A$6:$K$58</definedName>
    <definedName name="_xlnm._FilterDatabase" localSheetId="2" hidden="1">'计算过程 (2)'!$A$6:$O$20</definedName>
    <definedName name="_xlnm._FilterDatabase" localSheetId="3" hidden="1">'评估明细表 (2)'!$A$6:$K$20</definedName>
    <definedName name="_xlnm._FilterDatabase" localSheetId="5" hidden="1">有计算式!$A$4:$J$109</definedName>
    <definedName name="_xlnm.Print_Titles" localSheetId="1">计算过程!$3:$6</definedName>
    <definedName name="_xlnm.Print_Titles" localSheetId="2">'计算过程 (2)'!$3:$6</definedName>
    <definedName name="_xlnm.Print_Titles" localSheetId="0">评估明细表!$1:$2</definedName>
    <definedName name="_xlnm.Print_Titles" localSheetId="3">'评估明细表 (2)'!$3:$6</definedName>
    <definedName name="_xlnm.Print_Titles" localSheetId="5">有计算式!$1:$4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<sst xmlns="http://schemas.openxmlformats.org/spreadsheetml/2006/main" count="1317" uniqueCount="416">
  <si>
    <t>交易明细表</t>
  </si>
  <si>
    <t>标段</t>
  </si>
  <si>
    <t>序号</t>
  </si>
  <si>
    <t>名称</t>
  </si>
  <si>
    <t>规格型号</t>
  </si>
  <si>
    <t>生产厂家</t>
  </si>
  <si>
    <t>计量单位</t>
  </si>
  <si>
    <t>数量</t>
  </si>
  <si>
    <t>底价</t>
  </si>
  <si>
    <t>备注</t>
  </si>
  <si>
    <t>标的1</t>
  </si>
  <si>
    <t>中华人民共和国旗帜邮王</t>
  </si>
  <si>
    <t>邮票</t>
  </si>
  <si>
    <t>套</t>
  </si>
  <si>
    <t>共产党成立95周年建党红邮</t>
  </si>
  <si>
    <t>奇珍邮宝</t>
  </si>
  <si>
    <t>大国外交</t>
  </si>
  <si>
    <t>红色绝版珍邮</t>
  </si>
  <si>
    <t>大清龙邮</t>
  </si>
  <si>
    <t>墨润千秋</t>
  </si>
  <si>
    <t>错版邮王2016</t>
  </si>
  <si>
    <t>历代文物通宝全鉴</t>
  </si>
  <si>
    <t>共和国最佳邮票典藏大全</t>
  </si>
  <si>
    <t>中邮120最佳邮王1896-2016</t>
  </si>
  <si>
    <t>国邮双连</t>
  </si>
  <si>
    <t>中华人民共和国第三套评级币珍藏册</t>
  </si>
  <si>
    <t>美丽中国山水集邮</t>
  </si>
  <si>
    <t>贺岁宝典</t>
  </si>
  <si>
    <t>中国文明珍邮</t>
  </si>
  <si>
    <t>走向复兴献礼中华人民共和国成立70周年华诞</t>
  </si>
  <si>
    <t>2016至尊猴大版丙申猴年贺岁珍邮</t>
  </si>
  <si>
    <t>丁酉吉祥</t>
  </si>
  <si>
    <t>中国首套评级珍藏</t>
  </si>
  <si>
    <t>建军珍邮</t>
  </si>
  <si>
    <t>金鸡贺岁邮钞瑰宝</t>
  </si>
  <si>
    <t>5克金纪念钞及5克银纪念钞</t>
  </si>
  <si>
    <t>江山如画</t>
  </si>
  <si>
    <t>第三套人民币珍藏册</t>
  </si>
  <si>
    <t>人民币</t>
  </si>
  <si>
    <t>百年邮王</t>
  </si>
  <si>
    <t>山水如画</t>
  </si>
  <si>
    <t>一代伟人毛泽东125周年纪念</t>
  </si>
  <si>
    <t>红色珍藏</t>
  </si>
  <si>
    <t>一带一路纪念册</t>
  </si>
  <si>
    <t>硬币+邮票</t>
  </si>
  <si>
    <t>四大名著</t>
  </si>
  <si>
    <t>绝版连体珍邮</t>
  </si>
  <si>
    <t>金猪纳福</t>
  </si>
  <si>
    <t>中邮历代传世明书</t>
  </si>
  <si>
    <t>红色军邮大国脊梁</t>
  </si>
  <si>
    <t>独领风骚毛泽东诗词书法邮票</t>
  </si>
  <si>
    <t>文化中国走向世界</t>
  </si>
  <si>
    <t>上合峰会珍邮大典</t>
  </si>
  <si>
    <t>凝聚领航纪念中国人民解放军成立70周年</t>
  </si>
  <si>
    <t>纪念币+邮票</t>
  </si>
  <si>
    <t>领航中国</t>
  </si>
  <si>
    <t>中国集邮2017定制版</t>
  </si>
  <si>
    <t>传世珍邮四方联大版票</t>
  </si>
  <si>
    <t>中华之美版票珍邮</t>
  </si>
  <si>
    <t>第四套人民币同号钞珍藏册</t>
  </si>
  <si>
    <t>青山水云间</t>
  </si>
  <si>
    <t>水墨丹青</t>
  </si>
  <si>
    <t>十喜临门</t>
  </si>
  <si>
    <t>丝路雄风</t>
  </si>
  <si>
    <t>第31届夏季奥林匹克运动会金镶玉纪念币</t>
  </si>
  <si>
    <t>金镶玉纪念币</t>
  </si>
  <si>
    <t>辉煌历程改革开放40周年</t>
  </si>
  <si>
    <t>中国十大书法艺术大师</t>
  </si>
  <si>
    <t>国父孙中山诞辰150周年</t>
  </si>
  <si>
    <t>大国荣耀</t>
  </si>
  <si>
    <t>2016年二十国集团杭州峰会纪念</t>
  </si>
  <si>
    <t>100克银币+邮票</t>
  </si>
  <si>
    <t>里约2016年奥运会纪念币</t>
  </si>
  <si>
    <t>纪念币</t>
  </si>
  <si>
    <t>黄河邮票卷轴</t>
  </si>
  <si>
    <t>瑞猪添福乙亥年邮票珍藏</t>
  </si>
  <si>
    <t>2克金+邮票</t>
  </si>
  <si>
    <t>纯洁冰雪梦想启程北京2022年冬奥会会徽和冬残奥会会徽</t>
  </si>
  <si>
    <t>2018年俄罗斯FIFA世界杯官方邮票金纪念大全</t>
  </si>
  <si>
    <t>1克金</t>
  </si>
  <si>
    <t>国宝名书绝版大版票</t>
  </si>
  <si>
    <t>中国版图珍邮大版票</t>
  </si>
  <si>
    <t>传世龙头邮王</t>
  </si>
  <si>
    <t>6克银、石英质玉挂件</t>
  </si>
  <si>
    <t>鸿运当头银挂画</t>
  </si>
  <si>
    <t>30克银</t>
  </si>
  <si>
    <t>抗战功勋</t>
  </si>
  <si>
    <t>评级大典中国首套评级珍藏册</t>
  </si>
  <si>
    <t>故宫国宝邮王90周年</t>
  </si>
  <si>
    <t>香港回归大版珍邮</t>
  </si>
  <si>
    <t>中国邮票</t>
  </si>
  <si>
    <t>2克金</t>
  </si>
  <si>
    <t>千里江山图</t>
  </si>
  <si>
    <t>60克银</t>
  </si>
  <si>
    <t>民国钞王</t>
  </si>
  <si>
    <t>10克银</t>
  </si>
  <si>
    <t>传世典藏</t>
  </si>
  <si>
    <t>银元8枚</t>
  </si>
  <si>
    <t>锦绣中华第四套人民币大全</t>
  </si>
  <si>
    <t>天长地久钞币典藏册</t>
  </si>
  <si>
    <t>纪念钞</t>
  </si>
  <si>
    <t>精品五十七国硬币</t>
  </si>
  <si>
    <t>硬币</t>
  </si>
  <si>
    <t>猴年贺岁纪念币</t>
  </si>
  <si>
    <t>5个纪念币</t>
  </si>
  <si>
    <t>戊戌大吉（狗）</t>
  </si>
  <si>
    <t>传世文物珍邮</t>
  </si>
  <si>
    <t>小计</t>
  </si>
  <si>
    <t>标的2</t>
  </si>
  <si>
    <t>1</t>
  </si>
  <si>
    <t>铁皮文件柜</t>
  </si>
  <si>
    <t>185cm*85cm*40cm</t>
  </si>
  <si>
    <t>个</t>
  </si>
  <si>
    <t>2</t>
  </si>
  <si>
    <t>长条沙发</t>
  </si>
  <si>
    <t>皮革160cm*55cm</t>
  </si>
  <si>
    <t>3</t>
  </si>
  <si>
    <t>单人沙发</t>
  </si>
  <si>
    <t>皮革70cm*80cm</t>
  </si>
  <si>
    <t>4</t>
  </si>
  <si>
    <t>打印机</t>
  </si>
  <si>
    <t>爱普生K200</t>
  </si>
  <si>
    <t>台</t>
  </si>
  <si>
    <t>5</t>
  </si>
  <si>
    <t>爱普生L363</t>
  </si>
  <si>
    <t>6</t>
  </si>
  <si>
    <t>立式空调</t>
  </si>
  <si>
    <t>美的KFR-120LW</t>
  </si>
  <si>
    <t>7</t>
  </si>
  <si>
    <t>美的KFR-72LW</t>
  </si>
  <si>
    <t>8</t>
  </si>
  <si>
    <t>挂式空调</t>
  </si>
  <si>
    <t>美的KFR-35LW</t>
  </si>
  <si>
    <t>9</t>
  </si>
  <si>
    <t>组装电脑</t>
  </si>
  <si>
    <t>组装</t>
  </si>
  <si>
    <t>10</t>
  </si>
  <si>
    <t>键盘</t>
  </si>
  <si>
    <t>11</t>
  </si>
  <si>
    <t>聚财摆件</t>
  </si>
  <si>
    <t>高155cm,宽50cm</t>
  </si>
  <si>
    <t>12</t>
  </si>
  <si>
    <t>验钞机</t>
  </si>
  <si>
    <t>13</t>
  </si>
  <si>
    <t>电话座机</t>
  </si>
  <si>
    <t>14</t>
  </si>
  <si>
    <t>监控交换机</t>
  </si>
  <si>
    <t>海康威视</t>
  </si>
  <si>
    <t>15</t>
  </si>
  <si>
    <t>叫号机</t>
  </si>
  <si>
    <t>16</t>
  </si>
  <si>
    <t>路由器</t>
  </si>
  <si>
    <t>17</t>
  </si>
  <si>
    <t>笔记本电脑</t>
  </si>
  <si>
    <t>联想ThinkpadE470C</t>
  </si>
  <si>
    <t>18</t>
  </si>
  <si>
    <t>投影仪</t>
  </si>
  <si>
    <t>爱普生CB-S04</t>
  </si>
  <si>
    <t>标的3</t>
  </si>
  <si>
    <t>长木桌</t>
  </si>
  <si>
    <t>实木</t>
  </si>
  <si>
    <t>张</t>
  </si>
  <si>
    <t>凳子</t>
  </si>
  <si>
    <t>长2米，宽0.4米</t>
  </si>
  <si>
    <t>黑皮沙发一套</t>
  </si>
  <si>
    <t>1长2小</t>
  </si>
  <si>
    <t>电视墙一套</t>
  </si>
  <si>
    <t>6个电视及架子</t>
  </si>
  <si>
    <t>摄像头</t>
  </si>
  <si>
    <t>果盘</t>
  </si>
  <si>
    <t>塑料</t>
  </si>
  <si>
    <t>POS机</t>
  </si>
  <si>
    <t>H3c路由器</t>
  </si>
  <si>
    <t>小办公桌</t>
  </si>
  <si>
    <t>净水机</t>
  </si>
  <si>
    <t>挂墙式</t>
  </si>
  <si>
    <t>电话</t>
  </si>
  <si>
    <t>扫把</t>
  </si>
  <si>
    <t>杯子</t>
  </si>
  <si>
    <t>垃圾桶</t>
  </si>
  <si>
    <t>鸡蛋筐</t>
  </si>
  <si>
    <t>塑料，长55cm,宽35cm</t>
  </si>
  <si>
    <t>折叠椅</t>
  </si>
  <si>
    <t>会议桌</t>
  </si>
  <si>
    <t>木质</t>
  </si>
  <si>
    <t>会议凳子</t>
  </si>
  <si>
    <t>办公桌</t>
  </si>
  <si>
    <t>书柜</t>
  </si>
  <si>
    <t>机柜</t>
  </si>
  <si>
    <t>设备</t>
  </si>
  <si>
    <t>2主机1交换器1录像机</t>
  </si>
  <si>
    <t>显示器</t>
  </si>
  <si>
    <t>水壶</t>
  </si>
  <si>
    <t>热水壶</t>
  </si>
  <si>
    <t>茶桌</t>
  </si>
  <si>
    <t>长沙发</t>
  </si>
  <si>
    <t>办公椅</t>
  </si>
  <si>
    <t>爱心箱</t>
  </si>
  <si>
    <t>装饰字画</t>
  </si>
  <si>
    <t>幅</t>
  </si>
  <si>
    <t>报废一幅</t>
  </si>
  <si>
    <t>仅供参考，最终以现场实物现状为准。</t>
  </si>
  <si>
    <t>设备评估计算明细表</t>
  </si>
  <si>
    <t>评估基准日：2025年9月8日</t>
  </si>
  <si>
    <t>金额单位:人民币元</t>
  </si>
  <si>
    <t>单价</t>
  </si>
  <si>
    <t>评估原值</t>
  </si>
  <si>
    <t>成新率%</t>
  </si>
  <si>
    <t>评估净值</t>
  </si>
  <si>
    <t>联想Thinkpad470</t>
  </si>
  <si>
    <t>6个电视及架子，单个显示器长100cm,宽48cm</t>
  </si>
  <si>
    <t>合计</t>
  </si>
  <si>
    <t xml:space="preserve">                                       </t>
  </si>
  <si>
    <t>拟处置报废机械设备清查评估明细表</t>
  </si>
  <si>
    <t>评估基准日：2024年3月12日</t>
  </si>
  <si>
    <t>被评估单位：菏泽华瑞粮食储备有限公司</t>
  </si>
  <si>
    <t>主要材质</t>
  </si>
  <si>
    <t>单个重量（KG）</t>
  </si>
  <si>
    <t>单价（元/KG）</t>
  </si>
  <si>
    <t>单个皮带重量（KG）</t>
  </si>
  <si>
    <t>评估值</t>
  </si>
  <si>
    <t>存放地点</t>
  </si>
  <si>
    <t>移动式转向抛粮输送机</t>
  </si>
  <si>
    <t>15米长</t>
  </si>
  <si>
    <t>安徽云龙集团</t>
  </si>
  <si>
    <t>钢</t>
  </si>
  <si>
    <t>马岭岗一分库</t>
  </si>
  <si>
    <t>普通带式移动输送机</t>
  </si>
  <si>
    <t>12米长</t>
  </si>
  <si>
    <t>10米长</t>
  </si>
  <si>
    <t>单排扒谷机</t>
  </si>
  <si>
    <t>双排扒谷机</t>
  </si>
  <si>
    <t>顺达粮油</t>
  </si>
  <si>
    <t>圆筒式清粮机</t>
  </si>
  <si>
    <t>SCY-2000型</t>
  </si>
  <si>
    <t>卸粮平台（输送带）</t>
  </si>
  <si>
    <t>8米长</t>
  </si>
  <si>
    <t>安徽聚力机械制造有限公司</t>
  </si>
  <si>
    <t>液压装仓机</t>
  </si>
  <si>
    <t>YL-550</t>
  </si>
  <si>
    <t>成武天宫庙粮库</t>
  </si>
  <si>
    <t>补仓机</t>
  </si>
  <si>
    <t>鄄城大埝粮库</t>
  </si>
  <si>
    <t>扒谷机</t>
  </si>
  <si>
    <t>评估机构：山东汉光土地房地产资产评估有限公司</t>
  </si>
  <si>
    <t>评估人员：    程修常          牛钢义</t>
  </si>
  <si>
    <t>拟处置报废资产清查评估明细表</t>
  </si>
  <si>
    <t>800热力管道一米多重800的钢管一米194.7271公斤重，壁厚10mm。 计算过程如下： 钢铁密度=7.85克/立方厘米 米重=0.00785×截面积=0.00785×3.14×0.25×（800²-780²） =194.7271公斤/米，其它壁厚重量参考如上公式</t>
  </si>
  <si>
    <t>DN1000</t>
  </si>
  <si>
    <t>拟处置废旧物资清查评估明细表</t>
  </si>
  <si>
    <t>评估基准日：2020年4月13日</t>
  </si>
  <si>
    <t>被评估单位：国网山东省电力公司菏泽供电公司</t>
  </si>
  <si>
    <t>金额单位: 人民币元</t>
  </si>
  <si>
    <t>资产名称</t>
  </si>
  <si>
    <t>报废原因</t>
  </si>
  <si>
    <t>报废项目或来源</t>
  </si>
  <si>
    <t xml:space="preserve">废旧绝缘线 </t>
  </si>
  <si>
    <t>JKLYJ-120</t>
  </si>
  <si>
    <t>维修替换材料报废</t>
  </si>
  <si>
    <t>千克</t>
  </si>
  <si>
    <t>6545</t>
  </si>
  <si>
    <t>配电运检室报送的国网山东菏泽供电公司城区10kV华西II线等3条线路维修工程非资产物资报废</t>
  </si>
  <si>
    <t>可回收材质为铝</t>
  </si>
  <si>
    <t>配电运检室报送的国网山东菏泽供电公司城区10kV黄口II线维修工程非资产物资报废</t>
  </si>
  <si>
    <t>LJ-70、LJ-35、LJ-25、JK</t>
  </si>
  <si>
    <t>配电运检室报送的国网山东菏泽供电公司城区10kV武庄等8个台区0.4kV低压线路维修工程非资产物资报废</t>
  </si>
  <si>
    <t>配电运检室报送的国网山东菏泽供电公司城区10kV大屯西南等8个台区0.4kV低压线路维修工程非资产物资报废</t>
  </si>
  <si>
    <t xml:space="preserve">钢管杆 </t>
  </si>
  <si>
    <t>/</t>
  </si>
  <si>
    <t>横担</t>
  </si>
  <si>
    <t xml:space="preserve">根 </t>
  </si>
  <si>
    <t>可回收重量约0.776吨</t>
  </si>
  <si>
    <t>可回收重量约0.156吨</t>
  </si>
  <si>
    <t xml:space="preserve">开关配件 </t>
  </si>
  <si>
    <t>ZW32-12</t>
  </si>
  <si>
    <t>低值易耗品</t>
  </si>
  <si>
    <t xml:space="preserve">个 </t>
  </si>
  <si>
    <t>配电运检室报送的线路入地改造 非资产物资报废</t>
  </si>
  <si>
    <t>ZWG-12</t>
  </si>
  <si>
    <t xml:space="preserve">互感器配件 </t>
  </si>
  <si>
    <t xml:space="preserve">35KV3107#1电抗器 </t>
  </si>
  <si>
    <t xml:space="preserve">CKGKL-150+150/35-6％ </t>
  </si>
  <si>
    <t>只</t>
  </si>
  <si>
    <t>变电检修室报送的220kV单城变电站非资产物资报废</t>
  </si>
  <si>
    <t xml:space="preserve">35KV3113#2电抗器 </t>
  </si>
  <si>
    <t>LG-25</t>
  </si>
  <si>
    <t>城东分中心报送的菏泽牡丹区黄堽镇10KV贾庄村等9个台区低压线路新建工程 非资产物资报废</t>
  </si>
  <si>
    <t>城东分中心报送的国网山东菏泽供电公司开发区安兴外黄庄、安兴10队等9个台区0.4KV低压线路维修非资产物资报废</t>
  </si>
  <si>
    <t>废旧横担</t>
  </si>
  <si>
    <t>1500MM</t>
  </si>
  <si>
    <t>可回收重量约30公斤</t>
  </si>
  <si>
    <t>城东分中心报送的国网山东菏泽供电公司开发区沙土赵屯四队、八里庄等2个台区0.4KV低压线路维修工 非资产物资报废</t>
  </si>
  <si>
    <t>可回收重量约20公斤</t>
  </si>
  <si>
    <t>城东分中心报送的国网山东菏泽供电公司开发区10KV周楼支线线路维修工程非资产物资报废</t>
  </si>
  <si>
    <t>城东分中心报送的菏泽市牡丹区沙土镇10KV八里庄村1#台区等12个台区改造工程 非资产物资报废</t>
  </si>
  <si>
    <t>城东分中心报送的菏泽牡丹区110KV皇镇站10KV定胡I线等两条线路改造工程 非资产物资报废</t>
  </si>
  <si>
    <t>城东分中心报送的国网山东菏泽供电公司开发区10KV济北I线石堂支线等3条分支线路维修工程 非资产物资报废</t>
  </si>
  <si>
    <t>可回收重量约21公斤</t>
  </si>
  <si>
    <t>城东分中心报送的国网山东菏泽供电公司开发区10KV张庄线、骆屯线等2条线路维修工程 非资产物资报废</t>
  </si>
  <si>
    <t>可回收重量约25公斤</t>
  </si>
  <si>
    <t>城东分中心报送的国网山东菏泽供电公司开发区0-4KV何海等3个台区低压线路维修工程 非资产物资报废</t>
  </si>
  <si>
    <t>城东分中心报送的国网山东菏泽供电公司开发区10KV张集线、北洼线等2条线路维修工程 非资产物资报废</t>
  </si>
  <si>
    <t>可回收重量约15公斤</t>
  </si>
  <si>
    <t>城东分中心报送的国网山东菏泽供电公司开发区皇镇刘庄、肖庄等3个台区0-4KV低压线路维修工程非资产物资报废</t>
  </si>
  <si>
    <t>城东分中心报送的国网山东菏泽供电公司开发区安兴冯庙、任楼等2个台区0-4KV低压线路维修工程非资产物资报废</t>
  </si>
  <si>
    <t>城东分中心报送的国网山东菏泽供电公司开发区小留公用变、小留南等6个台区0-4KV低压线路维修工程非资产物资报废</t>
  </si>
  <si>
    <t>可回收重量约18公斤</t>
  </si>
  <si>
    <t>城东分中心报送的国网山东菏泽供电公司开发区安兴侯楼、王庄等7个台区0-4KV低压线路维修工程非资产物资报废</t>
  </si>
  <si>
    <t>城东分中心报送的国网山东菏泽供电公司开发区皇镇夹河赵、刘双庙等2个台区0-4KV低压线路维修工程非资产物资报废</t>
  </si>
  <si>
    <t>城东分中心报送的国网山东菏泽供电公司开发区10KV曹海支线等5条线路维修工程 非资产物资报废</t>
  </si>
  <si>
    <t>城东分中心报送的国网山东菏泽供电公司开发区辛集西王庄、前杨海等4个0-4KV低压线路维修工程非资产物资报废</t>
  </si>
  <si>
    <t>城东分中心报送的国网山东菏泽供电公司开发区10KV佃户屯线供电所支线等4条线路维修工程 非资产物资报废</t>
  </si>
  <si>
    <t>城东分中心报送的国网山东菏泽供电公司牡丹区10KV张堂线齐岗支线等3条支线维修工程 非资产物资报废</t>
  </si>
  <si>
    <t>城东分中心报送的菏泽市牡丹区35KV岳程庄站10KV庞王庄线改造工程 非资产物资报废</t>
  </si>
  <si>
    <t xml:space="preserve">变压器铁芯 </t>
  </si>
  <si>
    <t>非资产类备品备件报废</t>
  </si>
  <si>
    <t>非项目物资报废 非资产物资报废</t>
  </si>
  <si>
    <t xml:space="preserve">变压器绕组 </t>
  </si>
  <si>
    <t xml:space="preserve">变压器外壳 </t>
  </si>
  <si>
    <t xml:space="preserve">压缩机 </t>
  </si>
  <si>
    <t>P06</t>
  </si>
  <si>
    <t xml:space="preserve">台 </t>
  </si>
  <si>
    <t>电力调度控制中心报送的国国网山东菏泽供电公司D5000系统用精密空调维修工程 非资产物资报废</t>
  </si>
  <si>
    <t>室外机电路板</t>
  </si>
  <si>
    <t>MEAD402</t>
  </si>
  <si>
    <t>块</t>
  </si>
  <si>
    <t>电力调度控制中心报送的国国网山东菏泽供电公司D5001系统用精密空调维修工程 非资产物资报废</t>
  </si>
  <si>
    <t>内机主板</t>
  </si>
  <si>
    <t>KFR-120L</t>
  </si>
  <si>
    <t>电力调度控制中心报送的国国网山东菏泽供电公司D5002系统用精密空调维修工程 非资产物资报废</t>
  </si>
  <si>
    <t xml:space="preserve">室内外风机 </t>
  </si>
  <si>
    <t>RZP450PAY1</t>
  </si>
  <si>
    <t>电力调度控制中心报送的国国网山东菏泽供电公司D5003系统用精密空调维修工程 非资产物资报废</t>
  </si>
  <si>
    <t xml:space="preserve">加湿泵 </t>
  </si>
  <si>
    <t>电力调度控制中心报送的国国网山东菏泽供电公司D5004系统用精密空调维修工程 非资产物资报废</t>
  </si>
  <si>
    <t xml:space="preserve">氟利昂 </t>
  </si>
  <si>
    <t xml:space="preserve">罐 </t>
  </si>
  <si>
    <t>电力调度控制中心报送的国国网山东菏泽供电公司D5005系统用精密空调维修工程 非资产物资报废</t>
  </si>
  <si>
    <t>空气滤网</t>
  </si>
  <si>
    <t xml:space="preserve">片 </t>
  </si>
  <si>
    <t>电力调度控制中心报送的国国网山东菏泽供电公司D5006系统用精密空调维修工程 非资产物资报废</t>
  </si>
  <si>
    <t>电容</t>
  </si>
  <si>
    <t>UL33-1000L</t>
  </si>
  <si>
    <t>电力调度控制中心报送的国网山东菏泽供电公司调度设备不间断电源维修工程 非资产物资报废</t>
  </si>
  <si>
    <t xml:space="preserve">控制板 </t>
  </si>
  <si>
    <t>电源风扇</t>
  </si>
  <si>
    <t>整流模块</t>
  </si>
  <si>
    <t xml:space="preserve">冷缩式中间接头 </t>
  </si>
  <si>
    <t>IGBT模块</t>
  </si>
  <si>
    <t xml:space="preserve">服务器主板 </t>
  </si>
  <si>
    <t>540-7323</t>
  </si>
  <si>
    <t>电力调度控制中心报送的国网山东菏泽供电公司智能电网调度控制系统维修工程非资产物资报废</t>
  </si>
  <si>
    <t xml:space="preserve">服务器硬盘 </t>
  </si>
  <si>
    <t>653082-B21</t>
  </si>
  <si>
    <t>电源模块</t>
  </si>
  <si>
    <t>348114-B21</t>
  </si>
  <si>
    <t xml:space="preserve">服务器IO板 </t>
  </si>
  <si>
    <t>541-0929</t>
  </si>
  <si>
    <t>工作站CPU</t>
  </si>
  <si>
    <t>INTEL-XEON E5-1600</t>
  </si>
  <si>
    <t xml:space="preserve">PCI板 </t>
  </si>
  <si>
    <t>PCI-E8622</t>
  </si>
  <si>
    <t>SAN交换机光模块</t>
  </si>
  <si>
    <t>XFP-SX-MM850</t>
  </si>
  <si>
    <t xml:space="preserve">内存条 </t>
  </si>
  <si>
    <t>500662-B21</t>
  </si>
  <si>
    <t>条</t>
  </si>
  <si>
    <t>显卡</t>
  </si>
  <si>
    <t>NVIDIA-GTX960</t>
  </si>
  <si>
    <t xml:space="preserve">SR8808主控板 </t>
  </si>
  <si>
    <t>SRO2SRP1E3</t>
  </si>
  <si>
    <t>电力调度控制中心报送的国网山东菏泽供电公司35KV解元集等117座变电站及主站数据网硬件维修工程非资产物资报废</t>
  </si>
  <si>
    <t>8端口千兆业务板卡</t>
  </si>
  <si>
    <t>PIC-ET8G8L</t>
  </si>
  <si>
    <t>电力调度控制中心报送的国网山东菏泽供电公司35KV解元集等118座变电站及主站数据网硬件维修工程非资产物资报废</t>
  </si>
  <si>
    <t>2端口非通道化E1接口SIC模块</t>
  </si>
  <si>
    <t>SIC-2E1-F</t>
  </si>
  <si>
    <t>电力调度控制中心报送的国网山东菏泽供电公司35KV解元集等119座变电站及主站数据网硬件维修工程非资产物资报废</t>
  </si>
  <si>
    <t xml:space="preserve">4口百兆业务板卡 </t>
  </si>
  <si>
    <t>SIC-4FSW</t>
  </si>
  <si>
    <t>电力调度控制中心报送的国网山东菏泽供电公司35KV解元集等120座变电站及主站数据网硬件维修工程非资产物资报废</t>
  </si>
  <si>
    <t>PSR300-12A1</t>
  </si>
  <si>
    <t>电力调度控制中心报送的国网山东菏泽供电公司35KV解元集等121座变电站及主站数据网硬件维修工程非资产物资报废</t>
  </si>
  <si>
    <t>8端口千兆业务模块</t>
  </si>
  <si>
    <t>CR2D00E8GF1</t>
  </si>
  <si>
    <t>电力调度控制中心报送的国网山东菏泽供电公司35KV解元集等122座变电站及主站数据网硬件维修工程非资产物资报废</t>
  </si>
  <si>
    <t>4端口POS业务模块</t>
  </si>
  <si>
    <t>CR2D00P4CF11</t>
  </si>
  <si>
    <t>电力调度控制中心报送的国网山东菏泽供电公司35KV解元集等123座变电站及主站数据网硬件维修工程非资产物资报废</t>
  </si>
  <si>
    <t>4端口CPOS业务模块</t>
  </si>
  <si>
    <t>CR2D00C4CF11</t>
  </si>
  <si>
    <t>电力调度控制中心报送的国网山东菏泽供电公司35KV解元集等124座变电站及主站数据网硬件维修工程非资产物资报废</t>
  </si>
  <si>
    <t xml:space="preserve">路由器模块 </t>
  </si>
  <si>
    <t>RT-SIC-1E1F</t>
  </si>
  <si>
    <t>电力调度控制中心报送的国网山东菏泽供电公司35KV解元集等125座变电站及主站数据网硬件维修工程非资产物资报废</t>
  </si>
  <si>
    <t xml:space="preserve">交换机风扇 </t>
  </si>
  <si>
    <t>LSPM1FANSB</t>
  </si>
  <si>
    <t>电力调度控制中心报送的国网山东菏泽供电公司35KV解元集等126座变电站及主站数据网硬件维修工程非资产物资报废</t>
  </si>
  <si>
    <t>废旧导线</t>
  </si>
  <si>
    <t>LGJ-35</t>
  </si>
  <si>
    <t xml:space="preserve">吨 </t>
  </si>
  <si>
    <t>牡丹客户服务分中心报送的国网山东菏泽供电公司牡丹区10KV李庄线石人刘支线等3条线路维修 非资产物资报废</t>
  </si>
  <si>
    <t>牡丹客户服务分中心报送的国网山东菏泽供电公司牡丹区10KV孙化屯线泰兴支线等4条线路维修 非资产物资报废</t>
  </si>
  <si>
    <t>牡丹客户服务分中心报送的国网山东菏泽供电公司牡丹区10KV万西线秦庄支线等7条线路维修工非资产物资报废</t>
  </si>
  <si>
    <t>牡丹客户服务分中心报送的国网山东菏泽供电公司牡丹区10KV张堂线齐岗支线等3条支线维修工非资产物资报废</t>
  </si>
  <si>
    <t>牡丹客户服务分中心报送的国网山东菏泽供电公司牡丹区高庄徐庄等8个台区0.4KV线路维修工 非资产物资报废</t>
  </si>
  <si>
    <t>牡丹客户服务分中心报送的国网山东菏泽供电公司牡丹区黄集安南等8个台区0.4KV线路维修工 非资产物资报废</t>
  </si>
  <si>
    <t>牡丹客户服务分中心报送的国网山东菏泽供电公司牡丹区10KV桥口线牛楼东支线等6条支线维修 非资产物资报废</t>
  </si>
  <si>
    <t>维修更换</t>
  </si>
  <si>
    <t>牡丹客户服务分中心报送的非资产物资报废</t>
  </si>
  <si>
    <t>柜体</t>
  </si>
  <si>
    <t xml:space="preserve">电压互感器 </t>
  </si>
  <si>
    <t xml:space="preserve">被评估单位填表人：郝慧                                          </t>
  </si>
  <si>
    <t>评估机构：山东汉光资产评估有限公司</t>
  </si>
  <si>
    <r>
      <rPr>
        <sz val="11"/>
        <color theme="1"/>
        <rFont val="宋体"/>
        <charset val="134"/>
        <scheme val="minor"/>
      </rPr>
      <t xml:space="preserve">评估人员：付翠丽     </t>
    </r>
    <r>
      <rPr>
        <sz val="11"/>
        <color theme="1"/>
        <rFont val="宋体"/>
        <charset val="134"/>
        <scheme val="minor"/>
      </rPr>
      <t xml:space="preserve"> 谢红梅</t>
    </r>
  </si>
  <si>
    <t>填表日期： 2020年4月13日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</si>
</sst>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
    <numFmt numFmtId="178" formatCode="0.0000"/>
  </numFmts>
  <fonts count="30">
    <font>
      <sz val="11"/>
      <color theme="1"/>
      <name val="宋体"/>
      <charset val="134"/>
      <scheme val="minor"/>
    </font>
    <font>
      <b/>
      <sz val="16"/>
      <name val="宋体"/>
      <charset val="134"/>
    </font>
    <font>
      <sz val="10"/>
      <name val="宋体"/>
      <charset val="134"/>
    </font>
    <font>
      <sz val="12"/>
      <name val="宋体"/>
      <charset val="134"/>
    </font>
    <font>
      <sz val="11"/>
      <color theme="1"/>
      <name val="宋体"/>
      <charset val="134"/>
      <scheme val="minor"/>
    </font>
    <font>
      <sz val="10"/>
      <color theme="1"/>
      <name val="宋体"/>
      <charset val="134"/>
      <scheme val="minor"/>
    </font>
    <font>
      <b/>
      <sz val="11"/>
      <color theme="1"/>
      <name val="宋体"/>
      <charset val="134"/>
      <scheme val="minor"/>
    </font>
    <font>
      <sz val="9"/>
      <color theme="1"/>
      <name val="宋体"/>
      <charset val="134"/>
      <scheme val="minor"/>
    </font>
    <font>
      <sz val="9"/>
      <name val="宋体"/>
      <charset val="134"/>
    </font>
    <font>
      <b/>
      <sz val="9"/>
      <name val="宋体"/>
      <charset val="134"/>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3" borderId="13" applyNumberFormat="0" applyAlignment="0" applyProtection="0">
      <alignment vertical="center"/>
    </xf>
    <xf numFmtId="0" fontId="20" fillId="4" borderId="14" applyNumberFormat="0" applyAlignment="0" applyProtection="0">
      <alignment vertical="center"/>
    </xf>
    <xf numFmtId="0" fontId="21" fillId="4" borderId="13" applyNumberFormat="0" applyAlignment="0" applyProtection="0">
      <alignment vertical="center"/>
    </xf>
    <xf numFmtId="0" fontId="22" fillId="5"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 fillId="0" borderId="0"/>
  </cellStyleXfs>
  <cellXfs count="82">
    <xf numFmtId="0" fontId="0" fillId="0" borderId="0" xfId="0">
      <alignment vertical="center"/>
    </xf>
    <xf numFmtId="49" fontId="1" fillId="0" borderId="0" xfId="49" applyNumberFormat="1" applyFont="1" applyAlignment="1">
      <alignment horizontal="center" vertical="center"/>
    </xf>
    <xf numFmtId="49" fontId="2" fillId="0" borderId="0" xfId="49" applyNumberFormat="1" applyFont="1" applyAlignment="1">
      <alignment horizontal="center" vertical="center" shrinkToFit="1"/>
    </xf>
    <xf numFmtId="49" fontId="2" fillId="0" borderId="0" xfId="49" applyNumberFormat="1" applyFont="1" applyAlignment="1">
      <alignment vertical="center"/>
    </xf>
    <xf numFmtId="0" fontId="3" fillId="0" borderId="0" xfId="49" applyAlignment="1">
      <alignment vertical="center"/>
    </xf>
    <xf numFmtId="49" fontId="2" fillId="0" borderId="0" xfId="49" applyNumberFormat="1" applyFont="1" applyAlignment="1">
      <alignment horizontal="center" vertical="center"/>
    </xf>
    <xf numFmtId="49" fontId="2" fillId="0" borderId="0" xfId="49" applyNumberFormat="1" applyFont="1" applyAlignment="1">
      <alignment horizontal="left" vertical="center"/>
    </xf>
    <xf numFmtId="49" fontId="2" fillId="0" borderId="0" xfId="49" applyNumberFormat="1" applyFont="1" applyAlignment="1">
      <alignment horizontal="right" vertical="center"/>
    </xf>
    <xf numFmtId="0" fontId="4" fillId="0" borderId="0" xfId="0" applyFont="1" applyAlignment="1">
      <alignment horizontal="left" vertical="center"/>
    </xf>
    <xf numFmtId="49" fontId="2" fillId="0" borderId="1" xfId="49" applyNumberFormat="1" applyFont="1" applyBorder="1" applyAlignment="1">
      <alignment horizontal="center" vertical="center" wrapText="1"/>
    </xf>
    <xf numFmtId="49" fontId="2" fillId="0" borderId="1" xfId="49" applyNumberFormat="1" applyFont="1" applyBorder="1" applyAlignment="1">
      <alignment horizontal="center" vertical="center" shrinkToFit="1"/>
    </xf>
    <xf numFmtId="0" fontId="5" fillId="0" borderId="1" xfId="0" applyFont="1" applyBorder="1" applyAlignment="1">
      <alignment horizontal="center" vertical="center"/>
    </xf>
    <xf numFmtId="0" fontId="2" fillId="0" borderId="1" xfId="49" applyFont="1" applyBorder="1" applyAlignment="1">
      <alignment horizontal="center" vertical="center"/>
    </xf>
    <xf numFmtId="0" fontId="2" fillId="0" borderId="1" xfId="49" applyFont="1" applyBorder="1" applyAlignment="1">
      <alignment horizontal="center" vertical="center" wrapText="1"/>
    </xf>
    <xf numFmtId="49" fontId="2" fillId="0" borderId="1" xfId="49" applyNumberFormat="1" applyFont="1" applyBorder="1" applyAlignment="1">
      <alignment horizontal="center" vertical="center"/>
    </xf>
    <xf numFmtId="176" fontId="2" fillId="0" borderId="1" xfId="49" applyNumberFormat="1" applyFont="1" applyBorder="1" applyAlignment="1">
      <alignment horizontal="right" vertical="center"/>
    </xf>
    <xf numFmtId="0" fontId="5" fillId="0" borderId="1" xfId="0" applyFont="1" applyBorder="1" applyAlignment="1">
      <alignment vertical="center" wrapText="1"/>
    </xf>
    <xf numFmtId="0" fontId="5" fillId="0" borderId="1" xfId="0" applyFont="1" applyBorder="1">
      <alignment vertical="center"/>
    </xf>
    <xf numFmtId="177" fontId="0" fillId="0" borderId="0" xfId="0" applyNumberFormat="1">
      <alignment vertical="center"/>
    </xf>
    <xf numFmtId="178" fontId="0" fillId="0" borderId="0" xfId="0" applyNumberFormat="1">
      <alignment vertical="center"/>
    </xf>
    <xf numFmtId="0" fontId="4" fillId="0" borderId="1" xfId="0" applyFont="1" applyBorder="1" applyAlignment="1">
      <alignment horizontal="center" vertical="center"/>
    </xf>
    <xf numFmtId="0" fontId="0" fillId="0" borderId="1" xfId="0" applyBorder="1" applyAlignment="1">
      <alignment horizontal="center" vertical="center"/>
    </xf>
    <xf numFmtId="43" fontId="2" fillId="0" borderId="1" xfId="1" applyFont="1" applyFill="1" applyBorder="1" applyAlignment="1">
      <alignment vertical="center"/>
    </xf>
    <xf numFmtId="0" fontId="0" fillId="0" borderId="1" xfId="0" applyBorder="1">
      <alignment vertical="center"/>
    </xf>
    <xf numFmtId="0" fontId="4" fillId="0" borderId="0" xfId="0" applyFont="1">
      <alignment vertical="center"/>
    </xf>
    <xf numFmtId="0" fontId="0" fillId="0" borderId="0" xfId="0" applyAlignment="1">
      <alignment vertical="center" wrapText="1"/>
    </xf>
    <xf numFmtId="49" fontId="2" fillId="0" borderId="2" xfId="49" applyNumberFormat="1" applyFont="1" applyBorder="1" applyAlignment="1">
      <alignment horizontal="center" vertical="center"/>
    </xf>
    <xf numFmtId="49" fontId="2" fillId="0" borderId="3" xfId="49" applyNumberFormat="1" applyFont="1" applyBorder="1" applyAlignment="1">
      <alignment horizontal="center" vertical="center" wrapText="1"/>
    </xf>
    <xf numFmtId="0" fontId="2" fillId="0" borderId="3" xfId="49" applyFont="1" applyBorder="1" applyAlignment="1">
      <alignment horizontal="center" vertical="center" wrapText="1"/>
    </xf>
    <xf numFmtId="43" fontId="2" fillId="0" borderId="1" xfId="1" applyFont="1" applyFill="1" applyBorder="1" applyAlignment="1">
      <alignment horizontal="center" vertical="center"/>
    </xf>
    <xf numFmtId="176" fontId="2" fillId="0" borderId="1" xfId="49" applyNumberFormat="1" applyFont="1" applyBorder="1" applyAlignment="1">
      <alignment horizontal="center" vertical="center"/>
    </xf>
    <xf numFmtId="0" fontId="5" fillId="0" borderId="1" xfId="0" applyFont="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2" fillId="0" borderId="0" xfId="49" applyFont="1" applyAlignment="1">
      <alignment horizontal="center" vertical="center"/>
    </xf>
    <xf numFmtId="43" fontId="2" fillId="0" borderId="0" xfId="1" applyFont="1" applyFill="1" applyBorder="1" applyAlignment="1">
      <alignment vertical="center"/>
    </xf>
    <xf numFmtId="43" fontId="0" fillId="0" borderId="0" xfId="0" applyNumberFormat="1">
      <alignment vertical="center"/>
    </xf>
    <xf numFmtId="14" fontId="0" fillId="0" borderId="0" xfId="0" applyNumberFormat="1">
      <alignment vertical="center"/>
    </xf>
    <xf numFmtId="43" fontId="5" fillId="0" borderId="1" xfId="0" applyNumberFormat="1" applyFont="1" applyBorder="1" applyAlignment="1">
      <alignment horizontal="center" vertical="center" wrapText="1"/>
    </xf>
    <xf numFmtId="0" fontId="6" fillId="0" borderId="0" xfId="0" applyFont="1">
      <alignment vertical="center"/>
    </xf>
    <xf numFmtId="0" fontId="0" fillId="0" borderId="0" xfId="0" applyAlignment="1">
      <alignment horizontal="center" vertical="center"/>
    </xf>
    <xf numFmtId="0" fontId="7" fillId="0" borderId="1" xfId="0" applyFont="1" applyBorder="1" applyAlignment="1">
      <alignment horizontal="center" vertical="center"/>
    </xf>
    <xf numFmtId="49" fontId="8" fillId="0" borderId="1" xfId="49" applyNumberFormat="1" applyFont="1" applyBorder="1" applyAlignment="1">
      <alignment horizontal="center" vertical="center" wrapText="1"/>
    </xf>
    <xf numFmtId="49" fontId="8" fillId="0" borderId="3" xfId="49" applyNumberFormat="1" applyFont="1" applyBorder="1" applyAlignment="1">
      <alignment horizontal="center" vertical="center" wrapText="1"/>
    </xf>
    <xf numFmtId="49" fontId="8" fillId="0" borderId="1" xfId="49" applyNumberFormat="1" applyFont="1" applyBorder="1" applyAlignment="1">
      <alignment horizontal="center" vertical="center" shrinkToFit="1"/>
    </xf>
    <xf numFmtId="49" fontId="8" fillId="0" borderId="1" xfId="49" applyNumberFormat="1" applyFont="1" applyBorder="1" applyAlignment="1">
      <alignment horizontal="center" vertical="center" wrapText="1" shrinkToFit="1"/>
    </xf>
    <xf numFmtId="0" fontId="7" fillId="0" borderId="4" xfId="0" applyFont="1" applyBorder="1" applyAlignment="1">
      <alignment horizontal="center" vertical="center"/>
    </xf>
    <xf numFmtId="0" fontId="8" fillId="0" borderId="1" xfId="49" applyFont="1" applyBorder="1" applyAlignment="1">
      <alignment horizontal="center" vertical="center"/>
    </xf>
    <xf numFmtId="0" fontId="8" fillId="0" borderId="3" xfId="49" applyFont="1" applyBorder="1" applyAlignment="1">
      <alignment horizontal="center" vertical="center" wrapText="1"/>
    </xf>
    <xf numFmtId="0" fontId="8" fillId="0" borderId="1" xfId="49" applyFont="1" applyBorder="1" applyAlignment="1">
      <alignment horizontal="center" vertical="center" wrapText="1"/>
    </xf>
    <xf numFmtId="49" fontId="8" fillId="0" borderId="1" xfId="49" applyNumberFormat="1" applyFont="1" applyBorder="1" applyAlignment="1">
      <alignment horizontal="center" vertical="center"/>
    </xf>
    <xf numFmtId="0" fontId="8" fillId="0" borderId="1" xfId="1" applyNumberFormat="1" applyFont="1" applyFill="1" applyBorder="1" applyAlignment="1">
      <alignment horizontal="center" vertical="center"/>
    </xf>
    <xf numFmtId="176" fontId="8" fillId="0" borderId="4" xfId="49" applyNumberFormat="1" applyFont="1" applyBorder="1" applyAlignment="1">
      <alignment horizontal="center" vertical="center"/>
    </xf>
    <xf numFmtId="0" fontId="7" fillId="0" borderId="1" xfId="0" applyFont="1" applyBorder="1" applyAlignment="1">
      <alignment horizontal="center" vertical="center" wrapText="1"/>
    </xf>
    <xf numFmtId="0" fontId="7" fillId="0" borderId="5" xfId="0" applyFont="1" applyBorder="1" applyAlignment="1">
      <alignment horizontal="center" vertical="center"/>
    </xf>
    <xf numFmtId="176" fontId="8" fillId="0" borderId="5" xfId="49" applyNumberFormat="1" applyFont="1" applyBorder="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7" fillId="0" borderId="6" xfId="0" applyFont="1" applyBorder="1" applyAlignment="1">
      <alignment horizontal="center" vertical="center"/>
    </xf>
    <xf numFmtId="0" fontId="9" fillId="0" borderId="7" xfId="49" applyFont="1" applyBorder="1" applyAlignment="1">
      <alignment horizontal="center" vertical="center"/>
    </xf>
    <xf numFmtId="0" fontId="9" fillId="0" borderId="3" xfId="49" applyFont="1" applyBorder="1" applyAlignment="1">
      <alignment horizontal="center" vertical="center"/>
    </xf>
    <xf numFmtId="0" fontId="9" fillId="0" borderId="1" xfId="49" applyFont="1" applyBorder="1" applyAlignment="1">
      <alignment horizontal="center" vertical="center" wrapText="1"/>
    </xf>
    <xf numFmtId="49" fontId="9" fillId="0" borderId="1" xfId="49" applyNumberFormat="1" applyFont="1" applyBorder="1" applyAlignment="1">
      <alignment horizontal="center" vertical="center"/>
    </xf>
    <xf numFmtId="0" fontId="9" fillId="0" borderId="1" xfId="1" applyNumberFormat="1" applyFont="1" applyFill="1" applyBorder="1" applyAlignment="1">
      <alignment horizontal="center" vertical="center"/>
    </xf>
    <xf numFmtId="176" fontId="8" fillId="0" borderId="6" xfId="49" applyNumberFormat="1" applyFont="1" applyBorder="1" applyAlignment="1">
      <alignment horizontal="center" vertical="center"/>
    </xf>
    <xf numFmtId="0" fontId="10" fillId="0" borderId="1" xfId="0" applyFont="1" applyBorder="1">
      <alignment vertical="center"/>
    </xf>
    <xf numFmtId="177" fontId="6" fillId="0" borderId="0" xfId="0" applyNumberFormat="1" applyFont="1">
      <alignment vertical="center"/>
    </xf>
    <xf numFmtId="43" fontId="8" fillId="0" borderId="1" xfId="1" applyFont="1" applyBorder="1" applyAlignment="1">
      <alignment horizontal="center" vertical="center" wrapText="1"/>
    </xf>
    <xf numFmtId="49" fontId="9" fillId="0" borderId="7" xfId="49" applyNumberFormat="1" applyFont="1" applyBorder="1" applyAlignment="1">
      <alignment horizontal="center" vertical="center" wrapText="1"/>
    </xf>
    <xf numFmtId="49" fontId="9" fillId="0" borderId="3" xfId="49" applyNumberFormat="1" applyFont="1" applyBorder="1" applyAlignment="1">
      <alignment horizontal="center" vertical="center" wrapText="1"/>
    </xf>
    <xf numFmtId="49" fontId="9" fillId="0" borderId="1" xfId="49" applyNumberFormat="1" applyFont="1" applyBorder="1" applyAlignment="1">
      <alignment horizontal="center" vertical="center" shrinkToFit="1"/>
    </xf>
    <xf numFmtId="49" fontId="9" fillId="0" borderId="1" xfId="49" applyNumberFormat="1" applyFont="1" applyBorder="1" applyAlignment="1">
      <alignment horizontal="center" vertical="center" wrapText="1" shrinkToFit="1"/>
    </xf>
    <xf numFmtId="49" fontId="9" fillId="0" borderId="1" xfId="49" applyNumberFormat="1" applyFont="1" applyBorder="1" applyAlignment="1">
      <alignment horizontal="center" vertical="center" wrapText="1"/>
    </xf>
    <xf numFmtId="0" fontId="9" fillId="0" borderId="8" xfId="49" applyFont="1" applyBorder="1" applyAlignment="1">
      <alignment horizontal="center" vertical="center"/>
    </xf>
    <xf numFmtId="0" fontId="9" fillId="0" borderId="9" xfId="49" applyFont="1" applyBorder="1" applyAlignment="1">
      <alignment horizontal="center" vertical="center"/>
    </xf>
    <xf numFmtId="0" fontId="9" fillId="0" borderId="4" xfId="49" applyFont="1" applyBorder="1" applyAlignment="1">
      <alignment horizontal="center" vertical="center" wrapText="1"/>
    </xf>
    <xf numFmtId="49" fontId="9" fillId="0" borderId="4" xfId="49" applyNumberFormat="1" applyFont="1" applyBorder="1" applyAlignment="1">
      <alignment horizontal="center" vertical="center"/>
    </xf>
    <xf numFmtId="0" fontId="9" fillId="0" borderId="4" xfId="1" applyNumberFormat="1" applyFont="1" applyFill="1" applyBorder="1" applyAlignment="1">
      <alignment horizontal="center" vertical="center"/>
    </xf>
    <xf numFmtId="176" fontId="8" fillId="0" borderId="5" xfId="49" applyNumberFormat="1" applyFont="1" applyBorder="1" applyAlignment="1">
      <alignment horizontal="center" vertical="center"/>
    </xf>
    <xf numFmtId="0" fontId="10" fillId="0" borderId="4" xfId="0" applyFont="1" applyBorder="1">
      <alignment vertical="center"/>
    </xf>
    <xf numFmtId="0" fontId="0" fillId="0" borderId="1" xfId="0" applyBorder="1" applyAlignment="1">
      <alignment horizontal="center" vertical="center"/>
    </xf>
    <xf numFmtId="43" fontId="0" fillId="0" borderId="0" xfId="0" applyNumberForma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7"/>
  <sheetViews>
    <sheetView tabSelected="1" workbookViewId="0">
      <pane ySplit="2" topLeftCell="A119" activePane="bottomLeft" state="frozen"/>
      <selection/>
      <selection pane="bottomLeft" activeCell="A134" sqref="A134:I136"/>
    </sheetView>
  </sheetViews>
  <sheetFormatPr defaultColWidth="9" defaultRowHeight="13.5"/>
  <cols>
    <col min="3" max="3" width="16.1083333333333" customWidth="1"/>
    <col min="4" max="4" width="14.2166666666667" customWidth="1"/>
    <col min="5" max="5" width="14.2166666666667" style="25" hidden="1" customWidth="1"/>
    <col min="6" max="6" width="6.875" customWidth="1"/>
    <col min="7" max="7" width="8.875" customWidth="1"/>
    <col min="8" max="8" width="20.775" style="40" customWidth="1"/>
    <col min="9" max="9" width="20.3333333333333" customWidth="1"/>
    <col min="10" max="10" width="15" customWidth="1"/>
  </cols>
  <sheetData>
    <row r="1" ht="20.25" spans="1:10">
      <c r="B1" s="1" t="s">
        <v>0</v>
      </c>
      <c r="C1" s="1"/>
      <c r="D1" s="1"/>
      <c r="E1" s="1"/>
      <c r="F1" s="1"/>
      <c r="G1" s="1"/>
      <c r="H1" s="1"/>
      <c r="I1" s="1"/>
    </row>
    <row r="2" ht="33.75" customHeight="1" spans="1:10">
      <c r="A2" s="41" t="s">
        <v>1</v>
      </c>
      <c r="B2" s="42" t="s">
        <v>2</v>
      </c>
      <c r="C2" s="43" t="s">
        <v>3</v>
      </c>
      <c r="D2" s="44" t="s">
        <v>4</v>
      </c>
      <c r="E2" s="45" t="s">
        <v>5</v>
      </c>
      <c r="F2" s="42" t="s">
        <v>6</v>
      </c>
      <c r="G2" s="42" t="s">
        <v>7</v>
      </c>
      <c r="H2" s="42" t="s">
        <v>8</v>
      </c>
      <c r="I2" s="42" t="s">
        <v>9</v>
      </c>
    </row>
    <row r="3" ht="28.2" customHeight="1" spans="1:10">
      <c r="A3" s="46" t="s">
        <v>10</v>
      </c>
      <c r="B3" s="47">
        <v>1</v>
      </c>
      <c r="C3" s="48" t="s">
        <v>11</v>
      </c>
      <c r="D3" s="49" t="s">
        <v>12</v>
      </c>
      <c r="E3" s="49"/>
      <c r="F3" s="50" t="s">
        <v>13</v>
      </c>
      <c r="G3" s="51">
        <f>6+6+5</f>
        <v>17</v>
      </c>
      <c r="H3" s="52">
        <v>230300</v>
      </c>
      <c r="I3" s="53"/>
      <c r="J3" s="18"/>
    </row>
    <row r="4" ht="28.2" customHeight="1" spans="1:10">
      <c r="A4" s="54"/>
      <c r="B4" s="47">
        <v>2</v>
      </c>
      <c r="C4" s="48" t="s">
        <v>14</v>
      </c>
      <c r="D4" s="49" t="s">
        <v>12</v>
      </c>
      <c r="E4" s="49"/>
      <c r="F4" s="50" t="s">
        <v>13</v>
      </c>
      <c r="G4" s="51">
        <f>5+11+10+3+5</f>
        <v>34</v>
      </c>
      <c r="H4" s="55"/>
      <c r="I4" s="56"/>
      <c r="J4" s="18"/>
    </row>
    <row r="5" ht="28.2" customHeight="1" spans="1:10">
      <c r="A5" s="54"/>
      <c r="B5" s="47">
        <v>3</v>
      </c>
      <c r="C5" s="48" t="s">
        <v>15</v>
      </c>
      <c r="D5" s="49" t="s">
        <v>12</v>
      </c>
      <c r="E5" s="49"/>
      <c r="F5" s="50" t="s">
        <v>13</v>
      </c>
      <c r="G5" s="51">
        <v>5</v>
      </c>
      <c r="H5" s="55"/>
      <c r="I5" s="56"/>
      <c r="J5" s="18"/>
    </row>
    <row r="6" ht="28.2" customHeight="1" spans="1:10">
      <c r="A6" s="54"/>
      <c r="B6" s="47">
        <v>4</v>
      </c>
      <c r="C6" s="48" t="s">
        <v>16</v>
      </c>
      <c r="D6" s="49" t="s">
        <v>12</v>
      </c>
      <c r="E6" s="49"/>
      <c r="F6" s="50" t="s">
        <v>13</v>
      </c>
      <c r="G6" s="51">
        <f>5+5+5+1+4+11+10+5+1+2+2+1</f>
        <v>52</v>
      </c>
      <c r="H6" s="55"/>
      <c r="I6" s="56"/>
      <c r="J6" s="18"/>
    </row>
    <row r="7" ht="28.2" customHeight="1" spans="1:10">
      <c r="A7" s="54"/>
      <c r="B7" s="47">
        <v>5</v>
      </c>
      <c r="C7" s="48" t="s">
        <v>17</v>
      </c>
      <c r="D7" s="49" t="s">
        <v>12</v>
      </c>
      <c r="E7" s="49"/>
      <c r="F7" s="50" t="s">
        <v>13</v>
      </c>
      <c r="G7" s="51">
        <f>1+1+1+1</f>
        <v>4</v>
      </c>
      <c r="H7" s="55"/>
      <c r="I7" s="57"/>
      <c r="J7" s="18"/>
    </row>
    <row r="8" ht="28.2" customHeight="1" spans="1:10">
      <c r="A8" s="54"/>
      <c r="B8" s="47">
        <v>6</v>
      </c>
      <c r="C8" s="48" t="s">
        <v>18</v>
      </c>
      <c r="D8" s="49" t="s">
        <v>12</v>
      </c>
      <c r="E8" s="49"/>
      <c r="F8" s="50" t="s">
        <v>13</v>
      </c>
      <c r="G8" s="51">
        <f>1</f>
        <v>1</v>
      </c>
      <c r="H8" s="55"/>
      <c r="I8" s="56"/>
      <c r="J8" s="18"/>
    </row>
    <row r="9" ht="28.2" customHeight="1" spans="1:10">
      <c r="A9" s="54"/>
      <c r="B9" s="47">
        <v>7</v>
      </c>
      <c r="C9" s="48" t="s">
        <v>19</v>
      </c>
      <c r="D9" s="49" t="s">
        <v>12</v>
      </c>
      <c r="E9" s="49"/>
      <c r="F9" s="50" t="s">
        <v>13</v>
      </c>
      <c r="G9" s="51">
        <f>3+6+12+3+1</f>
        <v>25</v>
      </c>
      <c r="H9" s="55"/>
      <c r="I9" s="57"/>
      <c r="J9" s="18"/>
    </row>
    <row r="10" ht="28.2" customHeight="1" spans="1:10">
      <c r="A10" s="54"/>
      <c r="B10" s="47">
        <v>8</v>
      </c>
      <c r="C10" s="48" t="s">
        <v>20</v>
      </c>
      <c r="D10" s="49" t="s">
        <v>12</v>
      </c>
      <c r="E10" s="49"/>
      <c r="F10" s="50" t="s">
        <v>13</v>
      </c>
      <c r="G10" s="51">
        <v>1</v>
      </c>
      <c r="H10" s="55"/>
      <c r="I10" s="57"/>
      <c r="J10" s="18"/>
    </row>
    <row r="11" ht="28.2" customHeight="1" spans="1:10">
      <c r="A11" s="54"/>
      <c r="B11" s="47">
        <v>9</v>
      </c>
      <c r="C11" s="48" t="s">
        <v>21</v>
      </c>
      <c r="D11" s="49" t="s">
        <v>12</v>
      </c>
      <c r="E11" s="49"/>
      <c r="F11" s="50" t="s">
        <v>13</v>
      </c>
      <c r="G11" s="51">
        <v>1</v>
      </c>
      <c r="H11" s="55"/>
      <c r="I11" s="57"/>
      <c r="J11" s="18"/>
    </row>
    <row r="12" ht="28.2" customHeight="1" spans="1:10">
      <c r="A12" s="54"/>
      <c r="B12" s="47">
        <v>10</v>
      </c>
      <c r="C12" s="48" t="s">
        <v>22</v>
      </c>
      <c r="D12" s="49" t="s">
        <v>12</v>
      </c>
      <c r="E12" s="49"/>
      <c r="F12" s="50" t="s">
        <v>13</v>
      </c>
      <c r="G12" s="51">
        <f>1+2+1+2+2+2+2+2+2+2+1+4+3+2+1+3</f>
        <v>32</v>
      </c>
      <c r="H12" s="55"/>
      <c r="I12" s="57"/>
      <c r="J12" s="18"/>
    </row>
    <row r="13" ht="28.2" customHeight="1" spans="1:10">
      <c r="A13" s="54"/>
      <c r="B13" s="47">
        <v>11</v>
      </c>
      <c r="C13" s="48" t="s">
        <v>23</v>
      </c>
      <c r="D13" s="49" t="s">
        <v>12</v>
      </c>
      <c r="E13" s="49"/>
      <c r="F13" s="50" t="s">
        <v>13</v>
      </c>
      <c r="G13" s="51">
        <v>1</v>
      </c>
      <c r="H13" s="55"/>
      <c r="I13" s="57"/>
      <c r="J13" s="18"/>
    </row>
    <row r="14" ht="28.2" customHeight="1" spans="1:10">
      <c r="A14" s="54"/>
      <c r="B14" s="47">
        <v>12</v>
      </c>
      <c r="C14" s="48" t="s">
        <v>24</v>
      </c>
      <c r="D14" s="49" t="s">
        <v>12</v>
      </c>
      <c r="E14" s="49"/>
      <c r="F14" s="50" t="s">
        <v>13</v>
      </c>
      <c r="G14" s="51">
        <v>1</v>
      </c>
      <c r="H14" s="55"/>
      <c r="I14" s="57"/>
      <c r="J14" s="18"/>
    </row>
    <row r="15" ht="28.2" customHeight="1" spans="1:10">
      <c r="A15" s="54"/>
      <c r="B15" s="47">
        <v>13</v>
      </c>
      <c r="C15" s="48" t="s">
        <v>25</v>
      </c>
      <c r="D15" s="49" t="s">
        <v>12</v>
      </c>
      <c r="E15" s="49"/>
      <c r="F15" s="50" t="s">
        <v>13</v>
      </c>
      <c r="G15" s="51">
        <v>1</v>
      </c>
      <c r="H15" s="55"/>
      <c r="I15" s="41"/>
      <c r="J15" s="18"/>
    </row>
    <row r="16" ht="28.2" customHeight="1" spans="1:10">
      <c r="A16" s="54"/>
      <c r="B16" s="47">
        <v>14</v>
      </c>
      <c r="C16" s="48" t="s">
        <v>26</v>
      </c>
      <c r="D16" s="49" t="s">
        <v>12</v>
      </c>
      <c r="E16" s="49"/>
      <c r="F16" s="50" t="s">
        <v>13</v>
      </c>
      <c r="G16" s="51">
        <v>2</v>
      </c>
      <c r="H16" s="55"/>
      <c r="I16" s="57"/>
      <c r="J16" s="18"/>
    </row>
    <row r="17" ht="28.2" customHeight="1" spans="1:10">
      <c r="A17" s="54"/>
      <c r="B17" s="47">
        <v>15</v>
      </c>
      <c r="C17" s="48" t="s">
        <v>27</v>
      </c>
      <c r="D17" s="49" t="s">
        <v>12</v>
      </c>
      <c r="E17" s="49"/>
      <c r="F17" s="50" t="s">
        <v>13</v>
      </c>
      <c r="G17" s="51">
        <f>5+5+5+5+2+2+1</f>
        <v>25</v>
      </c>
      <c r="H17" s="55"/>
      <c r="I17" s="57"/>
      <c r="J17" s="18"/>
    </row>
    <row r="18" ht="28.2" customHeight="1" spans="1:10">
      <c r="A18" s="54"/>
      <c r="B18" s="47">
        <v>16</v>
      </c>
      <c r="C18" s="48" t="s">
        <v>28</v>
      </c>
      <c r="D18" s="49" t="s">
        <v>12</v>
      </c>
      <c r="E18" s="49"/>
      <c r="F18" s="50" t="s">
        <v>13</v>
      </c>
      <c r="G18" s="51">
        <v>2</v>
      </c>
      <c r="H18" s="55"/>
      <c r="I18" s="57"/>
      <c r="J18" s="18"/>
    </row>
    <row r="19" ht="28.2" customHeight="1" spans="1:10">
      <c r="A19" s="54"/>
      <c r="B19" s="47">
        <v>17</v>
      </c>
      <c r="C19" s="48" t="s">
        <v>29</v>
      </c>
      <c r="D19" s="49" t="s">
        <v>12</v>
      </c>
      <c r="E19" s="49"/>
      <c r="F19" s="50" t="s">
        <v>13</v>
      </c>
      <c r="G19" s="51">
        <v>4</v>
      </c>
      <c r="H19" s="55"/>
      <c r="I19" s="57"/>
      <c r="J19" s="18"/>
    </row>
    <row r="20" ht="28.2" customHeight="1" spans="1:10">
      <c r="A20" s="54"/>
      <c r="B20" s="47">
        <v>18</v>
      </c>
      <c r="C20" s="48" t="s">
        <v>30</v>
      </c>
      <c r="D20" s="49" t="s">
        <v>12</v>
      </c>
      <c r="E20" s="49"/>
      <c r="F20" s="50" t="s">
        <v>13</v>
      </c>
      <c r="G20" s="51">
        <v>6</v>
      </c>
      <c r="H20" s="55"/>
      <c r="I20" s="57"/>
      <c r="J20" s="18"/>
    </row>
    <row r="21" ht="28.2" customHeight="1" spans="1:10">
      <c r="A21" s="54"/>
      <c r="B21" s="47">
        <v>19</v>
      </c>
      <c r="C21" s="48" t="s">
        <v>31</v>
      </c>
      <c r="D21" s="49" t="s">
        <v>12</v>
      </c>
      <c r="E21" s="49"/>
      <c r="F21" s="50" t="s">
        <v>13</v>
      </c>
      <c r="G21" s="51">
        <v>11</v>
      </c>
      <c r="H21" s="55"/>
      <c r="I21" s="57"/>
      <c r="J21" s="18"/>
    </row>
    <row r="22" ht="28.2" customHeight="1" spans="1:10">
      <c r="A22" s="54"/>
      <c r="B22" s="47">
        <v>20</v>
      </c>
      <c r="C22" s="48" t="s">
        <v>32</v>
      </c>
      <c r="D22" s="49" t="s">
        <v>12</v>
      </c>
      <c r="E22" s="49"/>
      <c r="F22" s="50" t="s">
        <v>13</v>
      </c>
      <c r="G22" s="51">
        <v>3</v>
      </c>
      <c r="H22" s="55"/>
      <c r="I22" s="57"/>
      <c r="J22" s="18"/>
    </row>
    <row r="23" ht="28.2" customHeight="1" spans="1:10">
      <c r="A23" s="54"/>
      <c r="B23" s="47">
        <v>21</v>
      </c>
      <c r="C23" s="48" t="s">
        <v>33</v>
      </c>
      <c r="D23" s="49" t="s">
        <v>12</v>
      </c>
      <c r="E23" s="49"/>
      <c r="F23" s="50" t="s">
        <v>13</v>
      </c>
      <c r="G23" s="51">
        <f>3+3+4+1+1+3+3+4+2+6+3+1+2+1+4+1+4+3+2+1+1</f>
        <v>53</v>
      </c>
      <c r="H23" s="55"/>
      <c r="I23" s="57"/>
      <c r="J23" s="18"/>
    </row>
    <row r="24" ht="28.2" customHeight="1" spans="1:10">
      <c r="A24" s="54"/>
      <c r="B24" s="47">
        <v>22</v>
      </c>
      <c r="C24" s="48" t="s">
        <v>34</v>
      </c>
      <c r="D24" s="49" t="s">
        <v>35</v>
      </c>
      <c r="E24" s="49"/>
      <c r="F24" s="50" t="s">
        <v>13</v>
      </c>
      <c r="G24" s="51">
        <v>8</v>
      </c>
      <c r="H24" s="55"/>
      <c r="I24" s="57"/>
      <c r="J24" s="18"/>
    </row>
    <row r="25" ht="28.2" customHeight="1" spans="1:10">
      <c r="A25" s="54"/>
      <c r="B25" s="47">
        <v>23</v>
      </c>
      <c r="C25" s="48" t="s">
        <v>36</v>
      </c>
      <c r="D25" s="49" t="s">
        <v>12</v>
      </c>
      <c r="E25" s="49"/>
      <c r="F25" s="50" t="s">
        <v>13</v>
      </c>
      <c r="G25" s="51">
        <v>1</v>
      </c>
      <c r="H25" s="55"/>
      <c r="I25" s="57"/>
      <c r="J25" s="18"/>
    </row>
    <row r="26" ht="28.2" customHeight="1" spans="1:10">
      <c r="A26" s="54"/>
      <c r="B26" s="47">
        <v>24</v>
      </c>
      <c r="C26" s="48" t="s">
        <v>37</v>
      </c>
      <c r="D26" s="47" t="s">
        <v>38</v>
      </c>
      <c r="E26" s="49"/>
      <c r="F26" s="50" t="s">
        <v>13</v>
      </c>
      <c r="G26" s="51">
        <v>1</v>
      </c>
      <c r="H26" s="55"/>
      <c r="I26" s="57"/>
      <c r="J26" s="18"/>
    </row>
    <row r="27" ht="28.2" customHeight="1" spans="1:10">
      <c r="A27" s="54"/>
      <c r="B27" s="47">
        <v>25</v>
      </c>
      <c r="C27" s="48" t="s">
        <v>39</v>
      </c>
      <c r="D27" s="49" t="s">
        <v>12</v>
      </c>
      <c r="E27" s="49"/>
      <c r="F27" s="50" t="s">
        <v>13</v>
      </c>
      <c r="G27" s="51">
        <v>6</v>
      </c>
      <c r="H27" s="55"/>
      <c r="I27" s="57"/>
      <c r="J27" s="18"/>
    </row>
    <row r="28" ht="28.2" customHeight="1" spans="1:10">
      <c r="A28" s="54"/>
      <c r="B28" s="47">
        <v>26</v>
      </c>
      <c r="C28" s="48" t="s">
        <v>40</v>
      </c>
      <c r="D28" s="49" t="s">
        <v>12</v>
      </c>
      <c r="E28" s="49"/>
      <c r="F28" s="50" t="s">
        <v>13</v>
      </c>
      <c r="G28" s="51">
        <v>4</v>
      </c>
      <c r="H28" s="55"/>
      <c r="I28" s="57"/>
      <c r="J28" s="18"/>
    </row>
    <row r="29" ht="28.2" customHeight="1" spans="1:10">
      <c r="A29" s="54"/>
      <c r="B29" s="47">
        <v>27</v>
      </c>
      <c r="C29" s="48" t="s">
        <v>41</v>
      </c>
      <c r="D29" s="49" t="s">
        <v>12</v>
      </c>
      <c r="E29" s="49"/>
      <c r="F29" s="50" t="s">
        <v>13</v>
      </c>
      <c r="G29" s="51">
        <v>4</v>
      </c>
      <c r="H29" s="55"/>
      <c r="I29" s="57"/>
      <c r="J29" s="18"/>
    </row>
    <row r="30" ht="28.2" customHeight="1" spans="1:10">
      <c r="A30" s="54"/>
      <c r="B30" s="47">
        <v>28</v>
      </c>
      <c r="C30" s="48" t="s">
        <v>42</v>
      </c>
      <c r="D30" s="49" t="s">
        <v>12</v>
      </c>
      <c r="E30" s="49"/>
      <c r="F30" s="50" t="s">
        <v>13</v>
      </c>
      <c r="G30" s="51">
        <v>3</v>
      </c>
      <c r="H30" s="55"/>
      <c r="I30" s="57"/>
      <c r="J30" s="18"/>
    </row>
    <row r="31" ht="28.2" customHeight="1" spans="1:10">
      <c r="A31" s="54"/>
      <c r="B31" s="47">
        <v>29</v>
      </c>
      <c r="C31" s="48" t="s">
        <v>43</v>
      </c>
      <c r="D31" s="47" t="s">
        <v>44</v>
      </c>
      <c r="E31" s="49"/>
      <c r="F31" s="50" t="s">
        <v>13</v>
      </c>
      <c r="G31" s="51">
        <f>1+6+20+1+28+13+1+1+1+1+1+5</f>
        <v>79</v>
      </c>
      <c r="H31" s="55"/>
      <c r="I31" s="57"/>
      <c r="J31" s="18"/>
    </row>
    <row r="32" ht="28.2" customHeight="1" spans="1:10">
      <c r="A32" s="54"/>
      <c r="B32" s="47">
        <v>30</v>
      </c>
      <c r="C32" s="48" t="s">
        <v>45</v>
      </c>
      <c r="D32" s="49" t="s">
        <v>12</v>
      </c>
      <c r="E32" s="49"/>
      <c r="F32" s="50" t="s">
        <v>13</v>
      </c>
      <c r="G32" s="51">
        <f>3+6+8+4</f>
        <v>21</v>
      </c>
      <c r="H32" s="55"/>
      <c r="I32" s="57"/>
      <c r="J32" s="18"/>
    </row>
    <row r="33" ht="28.2" customHeight="1" spans="1:10">
      <c r="A33" s="54"/>
      <c r="B33" s="47">
        <v>31</v>
      </c>
      <c r="C33" s="48" t="s">
        <v>46</v>
      </c>
      <c r="D33" s="49" t="s">
        <v>12</v>
      </c>
      <c r="E33" s="49"/>
      <c r="F33" s="50" t="s">
        <v>13</v>
      </c>
      <c r="G33" s="51">
        <f>4+1+1</f>
        <v>6</v>
      </c>
      <c r="H33" s="55"/>
      <c r="I33" s="57"/>
      <c r="J33" s="18"/>
    </row>
    <row r="34" ht="28.2" customHeight="1" spans="1:10">
      <c r="A34" s="54"/>
      <c r="B34" s="47">
        <v>32</v>
      </c>
      <c r="C34" s="48" t="s">
        <v>47</v>
      </c>
      <c r="D34" s="49" t="s">
        <v>12</v>
      </c>
      <c r="E34" s="49"/>
      <c r="F34" s="50" t="s">
        <v>13</v>
      </c>
      <c r="G34" s="51">
        <f>10+5+5+5</f>
        <v>25</v>
      </c>
      <c r="H34" s="55"/>
      <c r="I34" s="57"/>
      <c r="J34" s="18"/>
    </row>
    <row r="35" ht="28.2" customHeight="1" spans="1:10">
      <c r="A35" s="54"/>
      <c r="B35" s="47">
        <v>33</v>
      </c>
      <c r="C35" s="48" t="s">
        <v>48</v>
      </c>
      <c r="D35" s="49" t="s">
        <v>12</v>
      </c>
      <c r="E35" s="49"/>
      <c r="F35" s="50" t="s">
        <v>13</v>
      </c>
      <c r="G35" s="51">
        <f>4+3+3+3+1</f>
        <v>14</v>
      </c>
      <c r="H35" s="55"/>
      <c r="I35" s="57"/>
      <c r="J35" s="18"/>
    </row>
    <row r="36" ht="28.2" customHeight="1" spans="1:10">
      <c r="A36" s="54"/>
      <c r="B36" s="47">
        <v>34</v>
      </c>
      <c r="C36" s="48" t="s">
        <v>49</v>
      </c>
      <c r="D36" s="49" t="s">
        <v>12</v>
      </c>
      <c r="E36" s="49"/>
      <c r="F36" s="50" t="s">
        <v>13</v>
      </c>
      <c r="G36" s="51">
        <f>12+1+1+1+3+3+1+2+1+1+1+3+6</f>
        <v>36</v>
      </c>
      <c r="H36" s="55"/>
      <c r="I36" s="57"/>
      <c r="J36" s="18"/>
    </row>
    <row r="37" ht="28.2" customHeight="1" spans="1:10">
      <c r="A37" s="54"/>
      <c r="B37" s="47">
        <v>35</v>
      </c>
      <c r="C37" s="48" t="s">
        <v>50</v>
      </c>
      <c r="D37" s="49" t="s">
        <v>12</v>
      </c>
      <c r="E37" s="49"/>
      <c r="F37" s="50" t="s">
        <v>13</v>
      </c>
      <c r="G37" s="51">
        <f>1</f>
        <v>1</v>
      </c>
      <c r="H37" s="55"/>
      <c r="I37" s="57"/>
      <c r="J37" s="18"/>
    </row>
    <row r="38" ht="28.2" customHeight="1" spans="1:10">
      <c r="A38" s="54"/>
      <c r="B38" s="47">
        <v>36</v>
      </c>
      <c r="C38" s="48" t="s">
        <v>51</v>
      </c>
      <c r="D38" s="49" t="s">
        <v>12</v>
      </c>
      <c r="E38" s="49"/>
      <c r="F38" s="50" t="s">
        <v>13</v>
      </c>
      <c r="G38" s="51">
        <f>2+1+1</f>
        <v>4</v>
      </c>
      <c r="H38" s="55"/>
      <c r="I38" s="57"/>
      <c r="J38" s="18"/>
    </row>
    <row r="39" ht="28.2" customHeight="1" spans="1:10">
      <c r="A39" s="54"/>
      <c r="B39" s="47">
        <v>37</v>
      </c>
      <c r="C39" s="48" t="s">
        <v>52</v>
      </c>
      <c r="D39" s="49" t="s">
        <v>12</v>
      </c>
      <c r="E39" s="49"/>
      <c r="F39" s="50" t="s">
        <v>13</v>
      </c>
      <c r="G39" s="51">
        <f>10+50</f>
        <v>60</v>
      </c>
      <c r="H39" s="55"/>
      <c r="I39" s="57"/>
      <c r="J39" s="18"/>
    </row>
    <row r="40" ht="28.2" customHeight="1" spans="1:10">
      <c r="A40" s="54"/>
      <c r="B40" s="47">
        <v>38</v>
      </c>
      <c r="C40" s="48" t="s">
        <v>53</v>
      </c>
      <c r="D40" s="47" t="s">
        <v>54</v>
      </c>
      <c r="E40" s="49"/>
      <c r="F40" s="50" t="s">
        <v>13</v>
      </c>
      <c r="G40" s="51">
        <f>16+1</f>
        <v>17</v>
      </c>
      <c r="H40" s="55"/>
      <c r="I40" s="57"/>
      <c r="J40" s="18"/>
    </row>
    <row r="41" ht="28.2" customHeight="1" spans="1:10">
      <c r="A41" s="54"/>
      <c r="B41" s="47">
        <v>39</v>
      </c>
      <c r="C41" s="48" t="s">
        <v>55</v>
      </c>
      <c r="D41" s="49" t="s">
        <v>12</v>
      </c>
      <c r="E41" s="49"/>
      <c r="F41" s="50" t="s">
        <v>13</v>
      </c>
      <c r="G41" s="51">
        <f>2</f>
        <v>2</v>
      </c>
      <c r="H41" s="55"/>
      <c r="I41" s="57"/>
      <c r="J41" s="18"/>
    </row>
    <row r="42" ht="28.2" customHeight="1" spans="1:10">
      <c r="A42" s="54"/>
      <c r="B42" s="47">
        <v>40</v>
      </c>
      <c r="C42" s="48" t="s">
        <v>56</v>
      </c>
      <c r="D42" s="49" t="s">
        <v>12</v>
      </c>
      <c r="E42" s="49"/>
      <c r="F42" s="50" t="s">
        <v>13</v>
      </c>
      <c r="G42" s="51">
        <v>18</v>
      </c>
      <c r="H42" s="55"/>
      <c r="I42" s="57"/>
      <c r="J42" s="18"/>
    </row>
    <row r="43" ht="28.2" customHeight="1" spans="1:10">
      <c r="A43" s="54"/>
      <c r="B43" s="47">
        <v>41</v>
      </c>
      <c r="C43" s="48" t="s">
        <v>57</v>
      </c>
      <c r="D43" s="49" t="s">
        <v>12</v>
      </c>
      <c r="E43" s="49"/>
      <c r="F43" s="50" t="s">
        <v>13</v>
      </c>
      <c r="G43" s="51">
        <f>6+6+3+2</f>
        <v>17</v>
      </c>
      <c r="H43" s="55"/>
      <c r="I43" s="57"/>
      <c r="J43" s="18"/>
    </row>
    <row r="44" ht="28.2" customHeight="1" spans="1:10">
      <c r="A44" s="54"/>
      <c r="B44" s="47">
        <v>42</v>
      </c>
      <c r="C44" s="48" t="s">
        <v>58</v>
      </c>
      <c r="D44" s="49" t="s">
        <v>12</v>
      </c>
      <c r="E44" s="49"/>
      <c r="F44" s="50" t="s">
        <v>13</v>
      </c>
      <c r="G44" s="51">
        <v>5</v>
      </c>
      <c r="H44" s="55"/>
      <c r="I44" s="57"/>
      <c r="J44" s="18"/>
    </row>
    <row r="45" ht="28.2" customHeight="1" spans="1:10">
      <c r="A45" s="54"/>
      <c r="B45" s="47">
        <v>43</v>
      </c>
      <c r="C45" s="48" t="s">
        <v>59</v>
      </c>
      <c r="D45" s="47" t="s">
        <v>38</v>
      </c>
      <c r="E45" s="49"/>
      <c r="F45" s="50" t="s">
        <v>13</v>
      </c>
      <c r="G45" s="51">
        <f>4+7</f>
        <v>11</v>
      </c>
      <c r="H45" s="55"/>
      <c r="I45" s="57"/>
      <c r="J45" s="18"/>
    </row>
    <row r="46" ht="28.2" customHeight="1" spans="1:10">
      <c r="A46" s="54"/>
      <c r="B46" s="47">
        <v>44</v>
      </c>
      <c r="C46" s="48" t="s">
        <v>60</v>
      </c>
      <c r="D46" s="49" t="s">
        <v>12</v>
      </c>
      <c r="E46" s="49"/>
      <c r="F46" s="50" t="s">
        <v>13</v>
      </c>
      <c r="G46" s="51">
        <f>5+11+4</f>
        <v>20</v>
      </c>
      <c r="H46" s="55"/>
      <c r="I46" s="57"/>
      <c r="J46" s="18"/>
    </row>
    <row r="47" ht="28.2" customHeight="1" spans="1:10">
      <c r="A47" s="54"/>
      <c r="B47" s="47">
        <v>45</v>
      </c>
      <c r="C47" s="48" t="s">
        <v>61</v>
      </c>
      <c r="D47" s="49" t="s">
        <v>12</v>
      </c>
      <c r="E47" s="49"/>
      <c r="F47" s="50" t="s">
        <v>13</v>
      </c>
      <c r="G47" s="51">
        <f>5+1</f>
        <v>6</v>
      </c>
      <c r="H47" s="55"/>
      <c r="I47" s="57"/>
      <c r="J47" s="18"/>
    </row>
    <row r="48" ht="28.2" customHeight="1" spans="1:10">
      <c r="A48" s="54"/>
      <c r="B48" s="47">
        <v>46</v>
      </c>
      <c r="C48" s="48" t="s">
        <v>62</v>
      </c>
      <c r="D48" s="49" t="s">
        <v>12</v>
      </c>
      <c r="E48" s="49"/>
      <c r="F48" s="50" t="s">
        <v>13</v>
      </c>
      <c r="G48" s="51">
        <f>1+1</f>
        <v>2</v>
      </c>
      <c r="H48" s="55"/>
      <c r="I48" s="57"/>
      <c r="J48" s="18"/>
    </row>
    <row r="49" ht="28.2" customHeight="1" spans="1:10">
      <c r="A49" s="54"/>
      <c r="B49" s="47">
        <v>47</v>
      </c>
      <c r="C49" s="48" t="s">
        <v>63</v>
      </c>
      <c r="D49" s="49" t="s">
        <v>12</v>
      </c>
      <c r="E49" s="49"/>
      <c r="F49" s="50" t="s">
        <v>13</v>
      </c>
      <c r="G49" s="51">
        <v>1</v>
      </c>
      <c r="H49" s="55"/>
      <c r="I49" s="57"/>
      <c r="J49" s="18"/>
    </row>
    <row r="50" ht="28.2" customHeight="1" spans="1:10">
      <c r="A50" s="54"/>
      <c r="B50" s="47">
        <v>48</v>
      </c>
      <c r="C50" s="48" t="s">
        <v>64</v>
      </c>
      <c r="D50" s="47" t="s">
        <v>65</v>
      </c>
      <c r="E50" s="49"/>
      <c r="F50" s="50" t="s">
        <v>13</v>
      </c>
      <c r="G50" s="51">
        <v>1</v>
      </c>
      <c r="H50" s="55"/>
      <c r="I50" s="57"/>
      <c r="J50" s="18"/>
    </row>
    <row r="51" ht="28.2" customHeight="1" spans="1:10">
      <c r="A51" s="54"/>
      <c r="B51" s="47">
        <v>49</v>
      </c>
      <c r="C51" s="48" t="s">
        <v>66</v>
      </c>
      <c r="D51" s="49" t="s">
        <v>12</v>
      </c>
      <c r="E51" s="49"/>
      <c r="F51" s="50" t="s">
        <v>13</v>
      </c>
      <c r="G51" s="51">
        <f>1+1</f>
        <v>2</v>
      </c>
      <c r="H51" s="55"/>
      <c r="I51" s="57"/>
      <c r="J51" s="18"/>
    </row>
    <row r="52" ht="28.2" customHeight="1" spans="1:10">
      <c r="A52" s="54"/>
      <c r="B52" s="47">
        <v>50</v>
      </c>
      <c r="C52" s="48" t="s">
        <v>67</v>
      </c>
      <c r="D52" s="49" t="s">
        <v>12</v>
      </c>
      <c r="E52" s="49"/>
      <c r="F52" s="50" t="s">
        <v>13</v>
      </c>
      <c r="G52" s="51">
        <f>3+3+3+3</f>
        <v>12</v>
      </c>
      <c r="H52" s="55"/>
      <c r="I52" s="57"/>
      <c r="J52" s="18"/>
    </row>
    <row r="53" ht="28.2" customHeight="1" spans="1:10">
      <c r="A53" s="54"/>
      <c r="B53" s="47">
        <v>51</v>
      </c>
      <c r="C53" s="48" t="s">
        <v>68</v>
      </c>
      <c r="D53" s="47" t="s">
        <v>54</v>
      </c>
      <c r="E53" s="49"/>
      <c r="F53" s="50" t="s">
        <v>13</v>
      </c>
      <c r="G53" s="51">
        <v>1</v>
      </c>
      <c r="H53" s="55"/>
      <c r="I53" s="57"/>
      <c r="J53" s="18"/>
    </row>
    <row r="54" ht="28.2" customHeight="1" spans="1:10">
      <c r="A54" s="54"/>
      <c r="B54" s="47">
        <v>52</v>
      </c>
      <c r="C54" s="48" t="s">
        <v>69</v>
      </c>
      <c r="D54" s="49" t="s">
        <v>12</v>
      </c>
      <c r="E54" s="49"/>
      <c r="F54" s="50" t="s">
        <v>13</v>
      </c>
      <c r="G54" s="51">
        <v>1</v>
      </c>
      <c r="H54" s="55"/>
      <c r="I54" s="57"/>
      <c r="J54" s="18"/>
    </row>
    <row r="55" ht="28.2" customHeight="1" spans="1:10">
      <c r="A55" s="54"/>
      <c r="B55" s="47">
        <v>53</v>
      </c>
      <c r="C55" s="48" t="s">
        <v>70</v>
      </c>
      <c r="D55" s="41" t="s">
        <v>71</v>
      </c>
      <c r="E55" s="49"/>
      <c r="F55" s="50" t="s">
        <v>13</v>
      </c>
      <c r="G55" s="51">
        <v>2</v>
      </c>
      <c r="H55" s="55"/>
      <c r="I55" s="41"/>
      <c r="J55" s="18"/>
    </row>
    <row r="56" ht="28.2" customHeight="1" spans="1:10">
      <c r="A56" s="54"/>
      <c r="B56" s="47">
        <v>54</v>
      </c>
      <c r="C56" s="48" t="s">
        <v>72</v>
      </c>
      <c r="D56" s="47" t="s">
        <v>73</v>
      </c>
      <c r="E56" s="49"/>
      <c r="F56" s="50" t="s">
        <v>13</v>
      </c>
      <c r="G56" s="51">
        <v>3</v>
      </c>
      <c r="H56" s="55"/>
      <c r="I56" s="57"/>
      <c r="J56" s="18"/>
    </row>
    <row r="57" ht="28.2" customHeight="1" spans="1:10">
      <c r="A57" s="54"/>
      <c r="B57" s="47">
        <v>55</v>
      </c>
      <c r="C57" s="48" t="s">
        <v>74</v>
      </c>
      <c r="D57" s="49" t="s">
        <v>12</v>
      </c>
      <c r="E57" s="49"/>
      <c r="F57" s="50" t="s">
        <v>13</v>
      </c>
      <c r="G57" s="51">
        <v>5</v>
      </c>
      <c r="H57" s="55"/>
      <c r="I57" s="57"/>
      <c r="J57" s="18"/>
    </row>
    <row r="58" ht="28.2" customHeight="1" spans="1:10">
      <c r="A58" s="54"/>
      <c r="B58" s="47">
        <v>56</v>
      </c>
      <c r="C58" s="48" t="s">
        <v>75</v>
      </c>
      <c r="D58" s="49" t="s">
        <v>76</v>
      </c>
      <c r="E58" s="49"/>
      <c r="F58" s="50" t="s">
        <v>13</v>
      </c>
      <c r="G58" s="51">
        <v>6</v>
      </c>
      <c r="H58" s="55"/>
      <c r="I58" s="57"/>
      <c r="J58" s="18"/>
    </row>
    <row r="59" ht="36.6" customHeight="1" spans="1:10">
      <c r="A59" s="54"/>
      <c r="B59" s="47">
        <v>57</v>
      </c>
      <c r="C59" s="48" t="s">
        <v>77</v>
      </c>
      <c r="D59" s="49" t="s">
        <v>12</v>
      </c>
      <c r="E59" s="49"/>
      <c r="F59" s="50" t="s">
        <v>13</v>
      </c>
      <c r="G59" s="51">
        <v>4</v>
      </c>
      <c r="H59" s="55"/>
      <c r="I59" s="57"/>
      <c r="J59" s="18"/>
    </row>
    <row r="60" ht="37.8" customHeight="1" spans="1:10">
      <c r="A60" s="54"/>
      <c r="B60" s="47">
        <v>58</v>
      </c>
      <c r="C60" s="48" t="s">
        <v>78</v>
      </c>
      <c r="D60" s="47" t="s">
        <v>79</v>
      </c>
      <c r="E60" s="49"/>
      <c r="F60" s="50" t="s">
        <v>13</v>
      </c>
      <c r="G60" s="51">
        <v>1</v>
      </c>
      <c r="H60" s="55"/>
      <c r="I60" s="57"/>
      <c r="J60" s="18"/>
    </row>
    <row r="61" ht="28.2" customHeight="1" spans="1:10">
      <c r="A61" s="54"/>
      <c r="B61" s="47">
        <v>59</v>
      </c>
      <c r="C61" s="48" t="s">
        <v>80</v>
      </c>
      <c r="D61" s="49" t="s">
        <v>12</v>
      </c>
      <c r="E61" s="49"/>
      <c r="F61" s="50" t="s">
        <v>13</v>
      </c>
      <c r="G61" s="51">
        <v>1</v>
      </c>
      <c r="H61" s="55"/>
      <c r="I61" s="57"/>
      <c r="J61" s="18"/>
    </row>
    <row r="62" ht="28.2" customHeight="1" spans="1:10">
      <c r="A62" s="54"/>
      <c r="B62" s="47">
        <v>60</v>
      </c>
      <c r="C62" s="48" t="s">
        <v>81</v>
      </c>
      <c r="D62" s="49" t="s">
        <v>12</v>
      </c>
      <c r="E62" s="49"/>
      <c r="F62" s="50" t="s">
        <v>13</v>
      </c>
      <c r="G62" s="51">
        <v>3</v>
      </c>
      <c r="H62" s="55"/>
      <c r="I62" s="57"/>
      <c r="J62" s="18"/>
    </row>
    <row r="63" ht="28.2" customHeight="1" spans="1:10">
      <c r="A63" s="54"/>
      <c r="B63" s="47">
        <v>61</v>
      </c>
      <c r="C63" s="48" t="s">
        <v>82</v>
      </c>
      <c r="D63" s="49" t="s">
        <v>83</v>
      </c>
      <c r="E63" s="49"/>
      <c r="F63" s="50" t="s">
        <v>13</v>
      </c>
      <c r="G63" s="51">
        <v>2</v>
      </c>
      <c r="H63" s="55"/>
      <c r="I63" s="57"/>
      <c r="J63" s="18"/>
    </row>
    <row r="64" ht="28.2" customHeight="1" spans="1:10">
      <c r="A64" s="54"/>
      <c r="B64" s="47">
        <v>62</v>
      </c>
      <c r="C64" s="48" t="s">
        <v>84</v>
      </c>
      <c r="D64" s="41" t="s">
        <v>85</v>
      </c>
      <c r="E64" s="49"/>
      <c r="F64" s="50" t="s">
        <v>13</v>
      </c>
      <c r="G64" s="51">
        <v>2</v>
      </c>
      <c r="H64" s="55"/>
      <c r="I64" s="41"/>
      <c r="J64" s="18"/>
    </row>
    <row r="65" ht="28.2" customHeight="1" spans="1:10">
      <c r="A65" s="54"/>
      <c r="B65" s="47">
        <v>63</v>
      </c>
      <c r="C65" s="48" t="s">
        <v>86</v>
      </c>
      <c r="D65" s="49" t="s">
        <v>12</v>
      </c>
      <c r="E65" s="49"/>
      <c r="F65" s="50" t="s">
        <v>13</v>
      </c>
      <c r="G65" s="51">
        <v>1</v>
      </c>
      <c r="H65" s="55"/>
      <c r="I65" s="57"/>
      <c r="J65" s="18"/>
    </row>
    <row r="66" ht="28.2" customHeight="1" spans="1:10">
      <c r="A66" s="54"/>
      <c r="B66" s="47">
        <v>64</v>
      </c>
      <c r="C66" s="48" t="s">
        <v>87</v>
      </c>
      <c r="D66" s="49" t="s">
        <v>12</v>
      </c>
      <c r="E66" s="49"/>
      <c r="F66" s="50" t="s">
        <v>13</v>
      </c>
      <c r="G66" s="51">
        <v>2</v>
      </c>
      <c r="H66" s="55"/>
      <c r="I66" s="57"/>
      <c r="J66" s="18"/>
    </row>
    <row r="67" ht="28.2" customHeight="1" spans="1:10">
      <c r="A67" s="54"/>
      <c r="B67" s="47">
        <v>65</v>
      </c>
      <c r="C67" s="48" t="s">
        <v>88</v>
      </c>
      <c r="D67" s="49" t="s">
        <v>12</v>
      </c>
      <c r="E67" s="49"/>
      <c r="F67" s="50" t="s">
        <v>13</v>
      </c>
      <c r="G67" s="51">
        <v>2</v>
      </c>
      <c r="H67" s="55"/>
      <c r="I67" s="57"/>
      <c r="J67" s="18"/>
    </row>
    <row r="68" ht="28.2" customHeight="1" spans="1:10">
      <c r="A68" s="54"/>
      <c r="B68" s="47">
        <v>66</v>
      </c>
      <c r="C68" s="48" t="s">
        <v>89</v>
      </c>
      <c r="D68" s="49" t="s">
        <v>12</v>
      </c>
      <c r="E68" s="49"/>
      <c r="F68" s="50" t="s">
        <v>13</v>
      </c>
      <c r="G68" s="51">
        <f>15+7</f>
        <v>22</v>
      </c>
      <c r="H68" s="55"/>
      <c r="I68" s="57"/>
      <c r="J68" s="18"/>
    </row>
    <row r="69" ht="28.2" customHeight="1" spans="1:10">
      <c r="A69" s="54"/>
      <c r="B69" s="47">
        <v>67</v>
      </c>
      <c r="C69" s="48" t="s">
        <v>90</v>
      </c>
      <c r="D69" s="41" t="s">
        <v>91</v>
      </c>
      <c r="E69" s="49"/>
      <c r="F69" s="50" t="s">
        <v>13</v>
      </c>
      <c r="G69" s="51">
        <v>14</v>
      </c>
      <c r="H69" s="55"/>
      <c r="I69" s="57"/>
      <c r="J69" s="18"/>
    </row>
    <row r="70" ht="28.2" customHeight="1" spans="1:10">
      <c r="A70" s="54"/>
      <c r="B70" s="47">
        <v>68</v>
      </c>
      <c r="C70" s="48" t="s">
        <v>92</v>
      </c>
      <c r="D70" s="41" t="s">
        <v>93</v>
      </c>
      <c r="E70" s="49"/>
      <c r="F70" s="50" t="s">
        <v>13</v>
      </c>
      <c r="G70" s="51">
        <v>1</v>
      </c>
      <c r="H70" s="55"/>
      <c r="I70" s="57"/>
      <c r="J70" s="18"/>
    </row>
    <row r="71" ht="28.2" customHeight="1" spans="1:10">
      <c r="A71" s="54"/>
      <c r="B71" s="47">
        <v>69</v>
      </c>
      <c r="C71" s="48" t="s">
        <v>94</v>
      </c>
      <c r="D71" s="41" t="s">
        <v>95</v>
      </c>
      <c r="E71" s="49"/>
      <c r="F71" s="50" t="s">
        <v>13</v>
      </c>
      <c r="G71" s="51">
        <v>1</v>
      </c>
      <c r="H71" s="55"/>
      <c r="I71" s="57"/>
      <c r="J71" s="18"/>
    </row>
    <row r="72" ht="28.2" customHeight="1" spans="1:10">
      <c r="A72" s="54"/>
      <c r="B72" s="47">
        <v>70</v>
      </c>
      <c r="C72" s="48" t="s">
        <v>96</v>
      </c>
      <c r="D72" s="47" t="s">
        <v>97</v>
      </c>
      <c r="E72" s="49"/>
      <c r="F72" s="50" t="s">
        <v>13</v>
      </c>
      <c r="G72" s="51">
        <v>1</v>
      </c>
      <c r="H72" s="55"/>
      <c r="I72" s="57"/>
      <c r="J72" s="18"/>
    </row>
    <row r="73" ht="28.2" customHeight="1" spans="1:10">
      <c r="A73" s="54"/>
      <c r="B73" s="47">
        <v>71</v>
      </c>
      <c r="C73" s="48" t="s">
        <v>98</v>
      </c>
      <c r="D73" s="47" t="s">
        <v>38</v>
      </c>
      <c r="E73" s="49"/>
      <c r="F73" s="50" t="s">
        <v>13</v>
      </c>
      <c r="G73" s="51">
        <v>1</v>
      </c>
      <c r="H73" s="55"/>
      <c r="I73" s="57"/>
      <c r="J73" s="18"/>
    </row>
    <row r="74" ht="28.2" customHeight="1" spans="1:10">
      <c r="A74" s="54"/>
      <c r="B74" s="47">
        <v>72</v>
      </c>
      <c r="C74" s="48" t="s">
        <v>99</v>
      </c>
      <c r="D74" s="47" t="s">
        <v>100</v>
      </c>
      <c r="E74" s="49"/>
      <c r="F74" s="50" t="s">
        <v>13</v>
      </c>
      <c r="G74" s="51">
        <v>1</v>
      </c>
      <c r="H74" s="55"/>
      <c r="I74" s="57"/>
      <c r="J74" s="18"/>
    </row>
    <row r="75" ht="28.2" customHeight="1" spans="1:10">
      <c r="A75" s="54"/>
      <c r="B75" s="47">
        <v>73</v>
      </c>
      <c r="C75" s="48" t="s">
        <v>101</v>
      </c>
      <c r="D75" s="47" t="s">
        <v>102</v>
      </c>
      <c r="E75" s="49"/>
      <c r="F75" s="50" t="s">
        <v>13</v>
      </c>
      <c r="G75" s="51">
        <v>1</v>
      </c>
      <c r="H75" s="55"/>
      <c r="I75" s="57"/>
      <c r="J75" s="18"/>
    </row>
    <row r="76" ht="28.2" customHeight="1" spans="1:10">
      <c r="A76" s="54"/>
      <c r="B76" s="47">
        <v>74</v>
      </c>
      <c r="C76" s="48" t="s">
        <v>103</v>
      </c>
      <c r="D76" s="47" t="s">
        <v>104</v>
      </c>
      <c r="E76" s="49"/>
      <c r="F76" s="50" t="s">
        <v>13</v>
      </c>
      <c r="G76" s="51">
        <v>4</v>
      </c>
      <c r="H76" s="55"/>
      <c r="I76" s="57"/>
      <c r="J76" s="18"/>
    </row>
    <row r="77" ht="28.2" customHeight="1" spans="1:10">
      <c r="A77" s="54"/>
      <c r="B77" s="47">
        <v>75</v>
      </c>
      <c r="C77" s="48" t="s">
        <v>15</v>
      </c>
      <c r="D77" s="49" t="s">
        <v>12</v>
      </c>
      <c r="E77" s="49"/>
      <c r="F77" s="50" t="s">
        <v>13</v>
      </c>
      <c r="G77" s="51">
        <v>1</v>
      </c>
      <c r="H77" s="55"/>
      <c r="I77" s="57"/>
      <c r="J77" s="18"/>
    </row>
    <row r="78" ht="28.2" customHeight="1" spans="1:10">
      <c r="A78" s="54"/>
      <c r="B78" s="47">
        <v>76</v>
      </c>
      <c r="C78" s="48" t="s">
        <v>105</v>
      </c>
      <c r="D78" s="49" t="s">
        <v>12</v>
      </c>
      <c r="E78" s="49"/>
      <c r="F78" s="50" t="s">
        <v>13</v>
      </c>
      <c r="G78" s="51">
        <v>5</v>
      </c>
      <c r="H78" s="55"/>
      <c r="I78" s="57"/>
      <c r="J78" s="18"/>
    </row>
    <row r="79" ht="28.2" customHeight="1" spans="1:10">
      <c r="A79" s="54"/>
      <c r="B79" s="47">
        <v>77</v>
      </c>
      <c r="C79" s="48" t="s">
        <v>106</v>
      </c>
      <c r="D79" s="49" t="s">
        <v>12</v>
      </c>
      <c r="E79" s="49"/>
      <c r="F79" s="50" t="s">
        <v>13</v>
      </c>
      <c r="G79" s="51">
        <v>1</v>
      </c>
      <c r="H79" s="55"/>
      <c r="I79" s="57"/>
      <c r="J79" s="18"/>
    </row>
    <row r="80" s="39" customFormat="1" ht="28.2" customHeight="1" spans="1:10">
      <c r="A80" s="58"/>
      <c r="B80" s="59" t="s">
        <v>107</v>
      </c>
      <c r="C80" s="60"/>
      <c r="D80" s="61"/>
      <c r="E80" s="61"/>
      <c r="F80" s="62"/>
      <c r="G80" s="63">
        <f>SUM(G3:G79)</f>
        <v>757</v>
      </c>
      <c r="H80" s="64"/>
      <c r="I80" s="65"/>
      <c r="J80" s="66"/>
    </row>
    <row r="81" ht="18.6" customHeight="1" spans="1:9">
      <c r="A81" s="46" t="s">
        <v>108</v>
      </c>
      <c r="B81" s="42" t="s">
        <v>109</v>
      </c>
      <c r="C81" s="43" t="s">
        <v>110</v>
      </c>
      <c r="D81" s="44" t="s">
        <v>111</v>
      </c>
      <c r="E81" s="45"/>
      <c r="F81" s="42" t="s">
        <v>112</v>
      </c>
      <c r="G81" s="49">
        <v>6</v>
      </c>
      <c r="H81" s="67">
        <v>13900</v>
      </c>
      <c r="I81" s="42"/>
    </row>
    <row r="82" ht="18.6" customHeight="1" spans="1:9">
      <c r="A82" s="54"/>
      <c r="B82" s="42" t="s">
        <v>113</v>
      </c>
      <c r="C82" s="43" t="s">
        <v>114</v>
      </c>
      <c r="D82" s="44" t="s">
        <v>115</v>
      </c>
      <c r="E82" s="45"/>
      <c r="F82" s="42" t="s">
        <v>112</v>
      </c>
      <c r="G82" s="49">
        <v>3</v>
      </c>
      <c r="H82" s="67"/>
      <c r="I82" s="42"/>
    </row>
    <row r="83" ht="18.6" customHeight="1" spans="1:9">
      <c r="A83" s="54"/>
      <c r="B83" s="42" t="s">
        <v>116</v>
      </c>
      <c r="C83" s="43" t="s">
        <v>117</v>
      </c>
      <c r="D83" s="44" t="s">
        <v>118</v>
      </c>
      <c r="E83" s="45"/>
      <c r="F83" s="42" t="s">
        <v>112</v>
      </c>
      <c r="G83" s="49">
        <v>2</v>
      </c>
      <c r="H83" s="67"/>
      <c r="I83" s="42"/>
    </row>
    <row r="84" ht="18.6" customHeight="1" spans="1:9">
      <c r="A84" s="54"/>
      <c r="B84" s="42" t="s">
        <v>119</v>
      </c>
      <c r="C84" s="43" t="s">
        <v>120</v>
      </c>
      <c r="D84" s="44" t="s">
        <v>121</v>
      </c>
      <c r="E84" s="45"/>
      <c r="F84" s="42" t="s">
        <v>122</v>
      </c>
      <c r="G84" s="49">
        <v>1</v>
      </c>
      <c r="H84" s="67"/>
      <c r="I84" s="42"/>
    </row>
    <row r="85" ht="18.6" customHeight="1" spans="1:9">
      <c r="A85" s="54"/>
      <c r="B85" s="42" t="s">
        <v>123</v>
      </c>
      <c r="C85" s="43" t="s">
        <v>120</v>
      </c>
      <c r="D85" s="44" t="s">
        <v>124</v>
      </c>
      <c r="E85" s="45"/>
      <c r="F85" s="42" t="s">
        <v>122</v>
      </c>
      <c r="G85" s="49">
        <v>1</v>
      </c>
      <c r="H85" s="67"/>
      <c r="I85" s="42"/>
    </row>
    <row r="86" ht="18.6" customHeight="1" spans="1:9">
      <c r="A86" s="54"/>
      <c r="B86" s="42" t="s">
        <v>125</v>
      </c>
      <c r="C86" s="43" t="s">
        <v>126</v>
      </c>
      <c r="D86" s="44" t="s">
        <v>127</v>
      </c>
      <c r="E86" s="45"/>
      <c r="F86" s="42" t="s">
        <v>122</v>
      </c>
      <c r="G86" s="49">
        <v>2</v>
      </c>
      <c r="H86" s="67"/>
      <c r="I86" s="42"/>
    </row>
    <row r="87" ht="18.6" customHeight="1" spans="1:9">
      <c r="A87" s="54"/>
      <c r="B87" s="42" t="s">
        <v>128</v>
      </c>
      <c r="C87" s="43" t="s">
        <v>126</v>
      </c>
      <c r="D87" s="44" t="s">
        <v>129</v>
      </c>
      <c r="E87" s="45"/>
      <c r="F87" s="42" t="s">
        <v>122</v>
      </c>
      <c r="G87" s="49">
        <v>2</v>
      </c>
      <c r="H87" s="67"/>
      <c r="I87" s="42"/>
    </row>
    <row r="88" ht="18.6" customHeight="1" spans="1:9">
      <c r="A88" s="54"/>
      <c r="B88" s="42" t="s">
        <v>130</v>
      </c>
      <c r="C88" s="43" t="s">
        <v>131</v>
      </c>
      <c r="D88" s="44" t="s">
        <v>132</v>
      </c>
      <c r="E88" s="45"/>
      <c r="F88" s="42" t="s">
        <v>122</v>
      </c>
      <c r="G88" s="49">
        <v>5</v>
      </c>
      <c r="H88" s="67"/>
      <c r="I88" s="42"/>
    </row>
    <row r="89" ht="18.6" customHeight="1" spans="1:9">
      <c r="A89" s="54"/>
      <c r="B89" s="42" t="s">
        <v>133</v>
      </c>
      <c r="C89" s="43" t="s">
        <v>134</v>
      </c>
      <c r="D89" s="44" t="s">
        <v>135</v>
      </c>
      <c r="E89" s="45"/>
      <c r="F89" s="42" t="s">
        <v>122</v>
      </c>
      <c r="G89" s="49">
        <v>10</v>
      </c>
      <c r="H89" s="67"/>
      <c r="I89" s="42"/>
    </row>
    <row r="90" ht="18.6" customHeight="1" spans="1:9">
      <c r="A90" s="54"/>
      <c r="B90" s="42" t="s">
        <v>136</v>
      </c>
      <c r="C90" s="43" t="s">
        <v>137</v>
      </c>
      <c r="D90" s="44"/>
      <c r="E90" s="45"/>
      <c r="F90" s="42" t="s">
        <v>112</v>
      </c>
      <c r="G90" s="49">
        <v>8</v>
      </c>
      <c r="H90" s="67"/>
      <c r="I90" s="42"/>
    </row>
    <row r="91" ht="18.6" customHeight="1" spans="1:9">
      <c r="A91" s="54"/>
      <c r="B91" s="42" t="s">
        <v>138</v>
      </c>
      <c r="C91" s="43" t="s">
        <v>139</v>
      </c>
      <c r="D91" s="44" t="s">
        <v>140</v>
      </c>
      <c r="E91" s="45"/>
      <c r="F91" s="42" t="s">
        <v>112</v>
      </c>
      <c r="G91" s="49">
        <v>1</v>
      </c>
      <c r="H91" s="67"/>
      <c r="I91" s="42"/>
    </row>
    <row r="92" ht="18.6" customHeight="1" spans="1:9">
      <c r="A92" s="54"/>
      <c r="B92" s="42" t="s">
        <v>141</v>
      </c>
      <c r="C92" s="43" t="s">
        <v>142</v>
      </c>
      <c r="D92" s="44"/>
      <c r="E92" s="45"/>
      <c r="F92" s="42" t="s">
        <v>122</v>
      </c>
      <c r="G92" s="49">
        <v>1</v>
      </c>
      <c r="H92" s="67"/>
      <c r="I92" s="42"/>
    </row>
    <row r="93" ht="18.6" customHeight="1" spans="1:9">
      <c r="A93" s="54"/>
      <c r="B93" s="42" t="s">
        <v>143</v>
      </c>
      <c r="C93" s="43" t="s">
        <v>144</v>
      </c>
      <c r="D93" s="44"/>
      <c r="E93" s="45"/>
      <c r="F93" s="42" t="s">
        <v>122</v>
      </c>
      <c r="G93" s="49">
        <v>1</v>
      </c>
      <c r="H93" s="67"/>
      <c r="I93" s="42"/>
    </row>
    <row r="94" ht="18.6" customHeight="1" spans="1:9">
      <c r="A94" s="54"/>
      <c r="B94" s="42" t="s">
        <v>145</v>
      </c>
      <c r="C94" s="43" t="s">
        <v>146</v>
      </c>
      <c r="D94" s="44" t="s">
        <v>147</v>
      </c>
      <c r="E94" s="45"/>
      <c r="F94" s="42" t="s">
        <v>122</v>
      </c>
      <c r="G94" s="49">
        <v>1</v>
      </c>
      <c r="H94" s="67"/>
      <c r="I94" s="42"/>
    </row>
    <row r="95" ht="18.6" customHeight="1" spans="1:9">
      <c r="A95" s="54"/>
      <c r="B95" s="42" t="s">
        <v>148</v>
      </c>
      <c r="C95" s="43" t="s">
        <v>149</v>
      </c>
      <c r="D95" s="44"/>
      <c r="E95" s="45"/>
      <c r="F95" s="42" t="s">
        <v>122</v>
      </c>
      <c r="G95" s="49">
        <v>1</v>
      </c>
      <c r="H95" s="67"/>
      <c r="I95" s="42"/>
    </row>
    <row r="96" ht="18.6" customHeight="1" spans="1:9">
      <c r="A96" s="54"/>
      <c r="B96" s="42" t="s">
        <v>150</v>
      </c>
      <c r="C96" s="43" t="s">
        <v>151</v>
      </c>
      <c r="D96" s="44"/>
      <c r="E96" s="45"/>
      <c r="F96" s="42" t="s">
        <v>122</v>
      </c>
      <c r="G96" s="49">
        <v>2</v>
      </c>
      <c r="H96" s="67"/>
      <c r="I96" s="42"/>
    </row>
    <row r="97" ht="18.6" customHeight="1" spans="1:10">
      <c r="A97" s="54"/>
      <c r="B97" s="42" t="s">
        <v>152</v>
      </c>
      <c r="C97" s="43" t="s">
        <v>153</v>
      </c>
      <c r="D97" s="44" t="s">
        <v>154</v>
      </c>
      <c r="E97" s="45"/>
      <c r="F97" s="42" t="s">
        <v>122</v>
      </c>
      <c r="G97" s="49">
        <v>1</v>
      </c>
      <c r="H97" s="67"/>
      <c r="I97" s="42"/>
    </row>
    <row r="98" ht="18.6" customHeight="1" spans="1:10">
      <c r="A98" s="54"/>
      <c r="B98" s="42" t="s">
        <v>155</v>
      </c>
      <c r="C98" s="43" t="s">
        <v>156</v>
      </c>
      <c r="D98" s="44" t="s">
        <v>157</v>
      </c>
      <c r="E98" s="45"/>
      <c r="F98" s="42" t="s">
        <v>122</v>
      </c>
      <c r="G98" s="49">
        <v>1</v>
      </c>
      <c r="H98" s="67"/>
      <c r="I98" s="42"/>
    </row>
    <row r="99" s="39" customFormat="1" ht="18.6" customHeight="1" spans="1:10">
      <c r="A99" s="58"/>
      <c r="B99" s="68" t="s">
        <v>107</v>
      </c>
      <c r="C99" s="69"/>
      <c r="D99" s="70"/>
      <c r="E99" s="71"/>
      <c r="F99" s="72"/>
      <c r="G99" s="72">
        <f>SUM(G81:G98)</f>
        <v>49</v>
      </c>
      <c r="H99" s="67"/>
      <c r="I99" s="72"/>
    </row>
    <row r="100" ht="17.4" customHeight="1" spans="1:10">
      <c r="A100" s="46" t="s">
        <v>158</v>
      </c>
      <c r="B100" s="47">
        <v>1</v>
      </c>
      <c r="C100" s="49" t="s">
        <v>159</v>
      </c>
      <c r="D100" s="49" t="s">
        <v>160</v>
      </c>
      <c r="E100" s="49"/>
      <c r="F100" s="50" t="s">
        <v>161</v>
      </c>
      <c r="G100" s="51">
        <v>4</v>
      </c>
      <c r="H100" s="52">
        <v>14600</v>
      </c>
      <c r="I100" s="57"/>
      <c r="J100" s="18"/>
    </row>
    <row r="101" ht="17.4" customHeight="1" spans="1:10">
      <c r="A101" s="54"/>
      <c r="B101" s="47">
        <v>2</v>
      </c>
      <c r="C101" s="49" t="s">
        <v>162</v>
      </c>
      <c r="D101" s="49" t="s">
        <v>163</v>
      </c>
      <c r="E101" s="49"/>
      <c r="F101" s="50" t="s">
        <v>112</v>
      </c>
      <c r="G101" s="51">
        <v>8</v>
      </c>
      <c r="H101" s="55"/>
      <c r="I101" s="57"/>
      <c r="J101" s="18"/>
    </row>
    <row r="102" ht="17.4" customHeight="1" spans="1:10">
      <c r="A102" s="54"/>
      <c r="B102" s="47">
        <v>3</v>
      </c>
      <c r="C102" s="49" t="s">
        <v>126</v>
      </c>
      <c r="D102" s="49" t="s">
        <v>129</v>
      </c>
      <c r="E102" s="49"/>
      <c r="F102" s="50" t="s">
        <v>122</v>
      </c>
      <c r="G102" s="51">
        <v>5</v>
      </c>
      <c r="H102" s="55"/>
      <c r="I102" s="57"/>
      <c r="J102" s="18"/>
    </row>
    <row r="103" ht="17.4" customHeight="1" spans="1:10">
      <c r="A103" s="54"/>
      <c r="B103" s="47">
        <v>4</v>
      </c>
      <c r="C103" s="49" t="s">
        <v>164</v>
      </c>
      <c r="D103" s="49" t="s">
        <v>165</v>
      </c>
      <c r="E103" s="49"/>
      <c r="F103" s="50" t="s">
        <v>13</v>
      </c>
      <c r="G103" s="51">
        <v>1</v>
      </c>
      <c r="H103" s="55"/>
      <c r="I103" s="57"/>
      <c r="J103" s="18"/>
    </row>
    <row r="104" ht="17.4" customHeight="1" spans="1:10">
      <c r="A104" s="54"/>
      <c r="B104" s="47">
        <v>5</v>
      </c>
      <c r="C104" s="49" t="s">
        <v>166</v>
      </c>
      <c r="D104" s="49" t="s">
        <v>167</v>
      </c>
      <c r="E104" s="49"/>
      <c r="F104" s="50" t="s">
        <v>13</v>
      </c>
      <c r="G104" s="51">
        <v>6</v>
      </c>
      <c r="H104" s="55"/>
      <c r="I104" s="57"/>
      <c r="J104" s="18"/>
    </row>
    <row r="105" ht="17.4" customHeight="1" spans="1:10">
      <c r="A105" s="54"/>
      <c r="B105" s="47">
        <v>6</v>
      </c>
      <c r="C105" s="49" t="s">
        <v>168</v>
      </c>
      <c r="D105" s="49"/>
      <c r="E105" s="49"/>
      <c r="F105" s="50" t="s">
        <v>13</v>
      </c>
      <c r="G105" s="51">
        <v>4</v>
      </c>
      <c r="H105" s="55"/>
      <c r="I105" s="57"/>
      <c r="J105" s="18"/>
    </row>
    <row r="106" ht="17.4" customHeight="1" spans="1:10">
      <c r="A106" s="54"/>
      <c r="B106" s="47">
        <v>7</v>
      </c>
      <c r="C106" s="49" t="s">
        <v>169</v>
      </c>
      <c r="D106" s="49" t="s">
        <v>170</v>
      </c>
      <c r="E106" s="49"/>
      <c r="F106" s="50" t="s">
        <v>112</v>
      </c>
      <c r="G106" s="51">
        <v>3</v>
      </c>
      <c r="H106" s="55"/>
      <c r="I106" s="57"/>
      <c r="J106" s="18"/>
    </row>
    <row r="107" ht="17.4" customHeight="1" spans="1:10">
      <c r="A107" s="54"/>
      <c r="B107" s="47">
        <v>8</v>
      </c>
      <c r="C107" s="49" t="s">
        <v>171</v>
      </c>
      <c r="D107" s="49"/>
      <c r="E107" s="49"/>
      <c r="F107" s="50" t="s">
        <v>112</v>
      </c>
      <c r="G107" s="51">
        <v>25</v>
      </c>
      <c r="H107" s="55"/>
      <c r="I107" s="57"/>
      <c r="J107" s="18"/>
    </row>
    <row r="108" ht="17.4" customHeight="1" spans="1:10">
      <c r="A108" s="54"/>
      <c r="B108" s="47">
        <v>9</v>
      </c>
      <c r="C108" s="49" t="s">
        <v>172</v>
      </c>
      <c r="D108" s="49"/>
      <c r="E108" s="49"/>
      <c r="F108" s="50" t="s">
        <v>112</v>
      </c>
      <c r="G108" s="51">
        <v>1</v>
      </c>
      <c r="H108" s="55"/>
      <c r="I108" s="57"/>
      <c r="J108" s="18"/>
    </row>
    <row r="109" ht="17.4" customHeight="1" spans="1:10">
      <c r="A109" s="54"/>
      <c r="B109" s="47">
        <v>10</v>
      </c>
      <c r="C109" s="49" t="s">
        <v>173</v>
      </c>
      <c r="D109" s="49"/>
      <c r="E109" s="49"/>
      <c r="F109" s="50" t="s">
        <v>161</v>
      </c>
      <c r="G109" s="51">
        <v>4</v>
      </c>
      <c r="H109" s="55"/>
      <c r="I109" s="57"/>
      <c r="J109" s="18"/>
    </row>
    <row r="110" ht="17.4" customHeight="1" spans="1:10">
      <c r="A110" s="54"/>
      <c r="B110" s="47">
        <v>11</v>
      </c>
      <c r="C110" s="49" t="s">
        <v>174</v>
      </c>
      <c r="D110" s="49" t="s">
        <v>175</v>
      </c>
      <c r="E110" s="49"/>
      <c r="F110" s="50" t="s">
        <v>122</v>
      </c>
      <c r="G110" s="51">
        <v>1</v>
      </c>
      <c r="H110" s="55"/>
      <c r="I110" s="57"/>
      <c r="J110" s="18"/>
    </row>
    <row r="111" ht="17.4" customHeight="1" spans="1:10">
      <c r="A111" s="54"/>
      <c r="B111" s="47">
        <v>12</v>
      </c>
      <c r="C111" s="49" t="s">
        <v>176</v>
      </c>
      <c r="D111" s="49"/>
      <c r="E111" s="49"/>
      <c r="F111" s="50" t="s">
        <v>112</v>
      </c>
      <c r="G111" s="51">
        <v>1</v>
      </c>
      <c r="H111" s="55"/>
      <c r="I111" s="57"/>
      <c r="J111" s="18"/>
    </row>
    <row r="112" ht="17.4" customHeight="1" spans="1:10">
      <c r="A112" s="54"/>
      <c r="B112" s="47">
        <v>13</v>
      </c>
      <c r="C112" s="49" t="s">
        <v>177</v>
      </c>
      <c r="D112" s="49" t="s">
        <v>170</v>
      </c>
      <c r="E112" s="49"/>
      <c r="F112" s="50" t="s">
        <v>112</v>
      </c>
      <c r="G112" s="51">
        <v>1</v>
      </c>
      <c r="H112" s="55"/>
      <c r="I112" s="57"/>
      <c r="J112" s="18"/>
    </row>
    <row r="113" ht="17.4" customHeight="1" spans="1:10">
      <c r="A113" s="54"/>
      <c r="B113" s="47">
        <v>14</v>
      </c>
      <c r="C113" s="49" t="s">
        <v>178</v>
      </c>
      <c r="D113" s="49"/>
      <c r="E113" s="49"/>
      <c r="F113" s="50" t="s">
        <v>112</v>
      </c>
      <c r="G113" s="51">
        <v>1</v>
      </c>
      <c r="H113" s="55"/>
      <c r="I113" s="57"/>
      <c r="J113" s="18"/>
    </row>
    <row r="114" ht="17.4" customHeight="1" spans="1:10">
      <c r="A114" s="54"/>
      <c r="B114" s="47">
        <v>15</v>
      </c>
      <c r="C114" s="49" t="s">
        <v>179</v>
      </c>
      <c r="D114" s="49"/>
      <c r="E114" s="49"/>
      <c r="F114" s="50" t="s">
        <v>112</v>
      </c>
      <c r="G114" s="51">
        <v>4</v>
      </c>
      <c r="H114" s="55"/>
      <c r="I114" s="57"/>
      <c r="J114" s="18"/>
    </row>
    <row r="115" ht="23.4" customHeight="1" spans="1:10">
      <c r="A115" s="54"/>
      <c r="B115" s="47">
        <v>16</v>
      </c>
      <c r="C115" s="49" t="s">
        <v>180</v>
      </c>
      <c r="D115" s="49" t="s">
        <v>181</v>
      </c>
      <c r="E115" s="49"/>
      <c r="F115" s="50" t="s">
        <v>112</v>
      </c>
      <c r="G115" s="51">
        <v>8</v>
      </c>
      <c r="H115" s="55"/>
      <c r="I115" s="57"/>
      <c r="J115" s="18"/>
    </row>
    <row r="116" ht="17.4" customHeight="1" spans="1:10">
      <c r="A116" s="54"/>
      <c r="B116" s="47">
        <v>17</v>
      </c>
      <c r="C116" s="49" t="s">
        <v>182</v>
      </c>
      <c r="D116" s="49"/>
      <c r="E116" s="49"/>
      <c r="F116" s="50" t="s">
        <v>112</v>
      </c>
      <c r="G116" s="51">
        <v>31</v>
      </c>
      <c r="H116" s="55"/>
      <c r="I116" s="57"/>
      <c r="J116" s="18"/>
    </row>
    <row r="117" ht="17.4" customHeight="1" spans="1:10">
      <c r="A117" s="54"/>
      <c r="B117" s="47">
        <v>18</v>
      </c>
      <c r="C117" s="49" t="s">
        <v>183</v>
      </c>
      <c r="D117" s="49" t="s">
        <v>184</v>
      </c>
      <c r="E117" s="49"/>
      <c r="F117" s="50" t="s">
        <v>161</v>
      </c>
      <c r="G117" s="51">
        <v>1</v>
      </c>
      <c r="H117" s="55"/>
      <c r="I117" s="57"/>
      <c r="J117" s="18"/>
    </row>
    <row r="118" ht="17.4" customHeight="1" spans="1:10">
      <c r="A118" s="54"/>
      <c r="B118" s="47">
        <v>19</v>
      </c>
      <c r="C118" s="49" t="s">
        <v>185</v>
      </c>
      <c r="D118" s="49"/>
      <c r="E118" s="49"/>
      <c r="F118" s="50" t="s">
        <v>112</v>
      </c>
      <c r="G118" s="51">
        <v>12</v>
      </c>
      <c r="H118" s="55"/>
      <c r="I118" s="57"/>
      <c r="J118" s="18"/>
    </row>
    <row r="119" ht="17.4" customHeight="1" spans="1:10">
      <c r="A119" s="54"/>
      <c r="B119" s="47">
        <v>20</v>
      </c>
      <c r="C119" s="49" t="s">
        <v>186</v>
      </c>
      <c r="D119" s="49"/>
      <c r="E119" s="49"/>
      <c r="F119" s="50" t="s">
        <v>161</v>
      </c>
      <c r="G119" s="51">
        <v>5</v>
      </c>
      <c r="H119" s="55"/>
      <c r="I119" s="57"/>
      <c r="J119" s="18"/>
    </row>
    <row r="120" ht="17.4" customHeight="1" spans="1:10">
      <c r="A120" s="54"/>
      <c r="B120" s="47">
        <v>21</v>
      </c>
      <c r="C120" s="49" t="s">
        <v>187</v>
      </c>
      <c r="D120" s="49"/>
      <c r="E120" s="49"/>
      <c r="F120" s="50" t="s">
        <v>112</v>
      </c>
      <c r="G120" s="51">
        <v>1</v>
      </c>
      <c r="H120" s="55"/>
      <c r="I120" s="57"/>
      <c r="J120" s="18"/>
    </row>
    <row r="121" ht="17.4" customHeight="1" spans="1:10">
      <c r="A121" s="54"/>
      <c r="B121" s="47">
        <v>22</v>
      </c>
      <c r="C121" s="49" t="s">
        <v>186</v>
      </c>
      <c r="D121" s="49"/>
      <c r="E121" s="49"/>
      <c r="F121" s="50" t="s">
        <v>161</v>
      </c>
      <c r="G121" s="51">
        <v>1</v>
      </c>
      <c r="H121" s="55"/>
      <c r="I121" s="57"/>
      <c r="J121" s="18"/>
    </row>
    <row r="122" ht="17.4" customHeight="1" spans="1:10">
      <c r="A122" s="54"/>
      <c r="B122" s="47">
        <v>23</v>
      </c>
      <c r="C122" s="49" t="s">
        <v>188</v>
      </c>
      <c r="D122" s="49"/>
      <c r="E122" s="49"/>
      <c r="F122" s="50" t="s">
        <v>112</v>
      </c>
      <c r="G122" s="51">
        <v>1</v>
      </c>
      <c r="H122" s="55"/>
      <c r="I122" s="57"/>
      <c r="J122" s="18"/>
    </row>
    <row r="123" ht="23.4" customHeight="1" spans="1:10">
      <c r="A123" s="54"/>
      <c r="B123" s="47">
        <v>24</v>
      </c>
      <c r="C123" s="49" t="s">
        <v>189</v>
      </c>
      <c r="D123" s="49" t="s">
        <v>190</v>
      </c>
      <c r="E123" s="49"/>
      <c r="F123" s="50" t="s">
        <v>13</v>
      </c>
      <c r="G123" s="51">
        <v>1</v>
      </c>
      <c r="H123" s="55"/>
      <c r="I123" s="57"/>
      <c r="J123" s="18"/>
    </row>
    <row r="124" ht="17.4" customHeight="1" spans="1:10">
      <c r="A124" s="54"/>
      <c r="B124" s="47">
        <v>25</v>
      </c>
      <c r="C124" s="49" t="s">
        <v>191</v>
      </c>
      <c r="D124" s="49"/>
      <c r="E124" s="49"/>
      <c r="F124" s="50" t="s">
        <v>112</v>
      </c>
      <c r="G124" s="51">
        <v>1</v>
      </c>
      <c r="H124" s="55"/>
      <c r="I124" s="57"/>
      <c r="J124" s="18"/>
    </row>
    <row r="125" ht="17.4" customHeight="1" spans="1:10">
      <c r="A125" s="54"/>
      <c r="B125" s="47">
        <v>26</v>
      </c>
      <c r="C125" s="49" t="s">
        <v>192</v>
      </c>
      <c r="D125" s="49"/>
      <c r="E125" s="49"/>
      <c r="F125" s="50" t="s">
        <v>112</v>
      </c>
      <c r="G125" s="51">
        <v>4</v>
      </c>
      <c r="H125" s="55"/>
      <c r="I125" s="57"/>
      <c r="J125" s="18"/>
    </row>
    <row r="126" ht="17.4" customHeight="1" spans="1:10">
      <c r="A126" s="54"/>
      <c r="B126" s="47">
        <v>27</v>
      </c>
      <c r="C126" s="49" t="s">
        <v>193</v>
      </c>
      <c r="D126" s="49"/>
      <c r="E126" s="49"/>
      <c r="F126" s="50" t="s">
        <v>112</v>
      </c>
      <c r="G126" s="51">
        <v>1</v>
      </c>
      <c r="H126" s="55"/>
      <c r="I126" s="57"/>
      <c r="J126" s="18"/>
    </row>
    <row r="127" ht="17.4" customHeight="1" spans="1:10">
      <c r="A127" s="54"/>
      <c r="B127" s="47">
        <v>28</v>
      </c>
      <c r="C127" s="49" t="s">
        <v>194</v>
      </c>
      <c r="D127" s="49"/>
      <c r="E127" s="49"/>
      <c r="F127" s="50" t="s">
        <v>161</v>
      </c>
      <c r="G127" s="51">
        <v>1</v>
      </c>
      <c r="H127" s="55"/>
      <c r="I127" s="57"/>
      <c r="J127" s="18"/>
    </row>
    <row r="128" ht="17.4" customHeight="1" spans="1:10">
      <c r="A128" s="54"/>
      <c r="B128" s="47">
        <v>29</v>
      </c>
      <c r="C128" s="49" t="s">
        <v>195</v>
      </c>
      <c r="D128" s="49"/>
      <c r="E128" s="49"/>
      <c r="F128" s="50" t="s">
        <v>112</v>
      </c>
      <c r="G128" s="51">
        <v>1</v>
      </c>
      <c r="H128" s="55"/>
      <c r="I128" s="57"/>
      <c r="J128" s="18"/>
    </row>
    <row r="129" ht="17.4" customHeight="1" spans="1:10">
      <c r="A129" s="54"/>
      <c r="B129" s="47">
        <v>30</v>
      </c>
      <c r="C129" s="49" t="s">
        <v>196</v>
      </c>
      <c r="D129" s="49"/>
      <c r="E129" s="49"/>
      <c r="F129" s="50" t="s">
        <v>112</v>
      </c>
      <c r="G129" s="51">
        <v>1</v>
      </c>
      <c r="H129" s="55"/>
      <c r="I129" s="57"/>
      <c r="J129" s="18"/>
    </row>
    <row r="130" ht="17.4" customHeight="1" spans="1:10">
      <c r="A130" s="54"/>
      <c r="B130" s="47">
        <v>31</v>
      </c>
      <c r="C130" s="49" t="s">
        <v>191</v>
      </c>
      <c r="D130" s="49"/>
      <c r="E130" s="49"/>
      <c r="F130" s="50" t="s">
        <v>112</v>
      </c>
      <c r="G130" s="51">
        <v>1</v>
      </c>
      <c r="H130" s="55"/>
      <c r="I130" s="57"/>
      <c r="J130" s="18"/>
    </row>
    <row r="131" ht="17.4" customHeight="1" spans="1:10">
      <c r="A131" s="54"/>
      <c r="B131" s="47">
        <v>32</v>
      </c>
      <c r="C131" s="49" t="s">
        <v>197</v>
      </c>
      <c r="D131" s="49"/>
      <c r="E131" s="49"/>
      <c r="F131" s="50" t="s">
        <v>112</v>
      </c>
      <c r="G131" s="51">
        <v>7</v>
      </c>
      <c r="H131" s="55"/>
      <c r="I131" s="57"/>
      <c r="J131" s="18"/>
    </row>
    <row r="132" ht="17.4" customHeight="1" spans="1:10">
      <c r="A132" s="54"/>
      <c r="B132" s="47">
        <v>33</v>
      </c>
      <c r="C132" s="49" t="s">
        <v>198</v>
      </c>
      <c r="D132" s="49"/>
      <c r="E132" s="49"/>
      <c r="F132" s="50" t="s">
        <v>199</v>
      </c>
      <c r="G132" s="51">
        <v>3</v>
      </c>
      <c r="H132" s="55"/>
      <c r="I132" s="57" t="s">
        <v>200</v>
      </c>
      <c r="J132" s="18"/>
    </row>
    <row r="133" s="39" customFormat="1" ht="25.2" customHeight="1" spans="1:10">
      <c r="A133" s="54"/>
      <c r="B133" s="73" t="s">
        <v>107</v>
      </c>
      <c r="C133" s="74"/>
      <c r="D133" s="75"/>
      <c r="E133" s="75"/>
      <c r="F133" s="76"/>
      <c r="G133" s="77">
        <f>SUM(G100:G132)</f>
        <v>150</v>
      </c>
      <c r="H133" s="78"/>
      <c r="I133" s="79"/>
      <c r="J133" s="66"/>
    </row>
    <row r="134" spans="1:10">
      <c r="A134" s="80" t="s">
        <v>201</v>
      </c>
      <c r="B134" s="80"/>
      <c r="C134" s="80"/>
      <c r="D134" s="80"/>
      <c r="E134" s="80"/>
      <c r="F134" s="80"/>
      <c r="G134" s="80"/>
      <c r="H134" s="80"/>
      <c r="I134" s="80"/>
    </row>
    <row r="135" spans="1:10">
      <c r="A135" s="80"/>
      <c r="B135" s="80"/>
      <c r="C135" s="80"/>
      <c r="D135" s="80"/>
      <c r="E135" s="80"/>
      <c r="F135" s="80"/>
      <c r="G135" s="80"/>
      <c r="H135" s="80"/>
      <c r="I135" s="80"/>
    </row>
    <row r="136" spans="1:10">
      <c r="A136" s="80"/>
      <c r="B136" s="80"/>
      <c r="C136" s="80"/>
      <c r="D136" s="80"/>
      <c r="E136" s="80"/>
      <c r="F136" s="80"/>
      <c r="G136" s="80"/>
      <c r="H136" s="80"/>
      <c r="I136" s="80"/>
    </row>
    <row r="137" spans="1:10">
      <c r="H137" s="81"/>
    </row>
  </sheetData>
  <autoFilter xmlns:etc="http://www.wps.cn/officeDocument/2017/etCustomData" ref="B2:J133" etc:filterBottomFollowUsedRange="0">
    <extLst/>
  </autoFilter>
  <mergeCells count="11">
    <mergeCell ref="B1:I1"/>
    <mergeCell ref="B80:C80"/>
    <mergeCell ref="B99:C99"/>
    <mergeCell ref="B133:C133"/>
    <mergeCell ref="A3:A80"/>
    <mergeCell ref="A81:A99"/>
    <mergeCell ref="A100:A133"/>
    <mergeCell ref="H3:H80"/>
    <mergeCell ref="H81:H99"/>
    <mergeCell ref="H100:H133"/>
    <mergeCell ref="A134:I136"/>
  </mergeCells>
  <pageMargins left="1.10236220472441" right="0.708661417322835" top="0.354330708661417" bottom="0.354330708661417" header="0.31496062992126" footer="0.31496062992126"/>
  <pageSetup paperSize="9" fitToHeight="10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3:K66"/>
  <sheetViews>
    <sheetView workbookViewId="0">
      <pane ySplit="6" topLeftCell="A53" activePane="bottomLeft" state="frozen"/>
      <selection/>
      <selection pane="bottomLeft" activeCell="I133" sqref="I133"/>
    </sheetView>
  </sheetViews>
  <sheetFormatPr defaultColWidth="9" defaultRowHeight="13.5"/>
  <cols>
    <col min="2" max="2" width="16.1083333333333" customWidth="1"/>
    <col min="3" max="3" width="16.775" customWidth="1"/>
    <col min="4" max="4" width="14.2166666666667" customWidth="1"/>
    <col min="6" max="7" width="13.1083333333333" customWidth="1"/>
    <col min="8" max="8" width="23.775" customWidth="1"/>
    <col min="9" max="9" width="20.775" customWidth="1"/>
    <col min="10" max="10" width="20.3333333333333" customWidth="1"/>
    <col min="11" max="11" width="15" style="37" customWidth="1"/>
  </cols>
  <sheetData>
    <row r="3" ht="20.25" spans="1:11">
      <c r="A3" s="1" t="s">
        <v>202</v>
      </c>
      <c r="B3" s="1"/>
      <c r="C3" s="1"/>
      <c r="D3" s="1"/>
      <c r="E3" s="1"/>
      <c r="F3" s="1"/>
      <c r="G3" s="1"/>
      <c r="H3" s="1"/>
      <c r="I3" s="1"/>
      <c r="J3" s="1"/>
    </row>
    <row r="4" ht="14.25" customHeight="1" spans="1:11">
      <c r="A4" s="2" t="s">
        <v>203</v>
      </c>
      <c r="B4" s="2"/>
      <c r="C4" s="2"/>
      <c r="D4" s="2"/>
      <c r="E4" s="2"/>
      <c r="F4" s="2"/>
      <c r="G4" s="2"/>
      <c r="H4" s="2"/>
      <c r="I4" s="2"/>
      <c r="J4" s="2"/>
    </row>
    <row r="5" ht="16.5" customHeight="1" spans="1:11">
      <c r="A5" s="3"/>
      <c r="B5" s="3"/>
      <c r="C5" s="4"/>
      <c r="D5" s="4"/>
      <c r="E5" s="5"/>
      <c r="F5" s="6"/>
      <c r="G5" s="6"/>
      <c r="I5" s="26" t="s">
        <v>204</v>
      </c>
      <c r="J5" s="26"/>
    </row>
    <row r="6" ht="33.75" customHeight="1" spans="1:11">
      <c r="A6" s="9" t="s">
        <v>2</v>
      </c>
      <c r="B6" s="27" t="s">
        <v>3</v>
      </c>
      <c r="C6" s="10" t="s">
        <v>4</v>
      </c>
      <c r="D6" s="10" t="s">
        <v>5</v>
      </c>
      <c r="E6" s="9" t="s">
        <v>6</v>
      </c>
      <c r="F6" s="9" t="s">
        <v>7</v>
      </c>
      <c r="G6" s="9" t="s">
        <v>205</v>
      </c>
      <c r="H6" s="9" t="s">
        <v>206</v>
      </c>
      <c r="I6" s="9" t="s">
        <v>207</v>
      </c>
      <c r="J6" s="9" t="s">
        <v>208</v>
      </c>
    </row>
    <row r="7" ht="25.8" customHeight="1" spans="1:11">
      <c r="A7" s="12">
        <v>1</v>
      </c>
      <c r="B7" s="28" t="s">
        <v>110</v>
      </c>
      <c r="C7" s="12" t="s">
        <v>111</v>
      </c>
      <c r="D7" s="12"/>
      <c r="E7" s="14" t="s">
        <v>112</v>
      </c>
      <c r="F7" s="29" t="s">
        <v>125</v>
      </c>
      <c r="G7" s="29">
        <v>355</v>
      </c>
      <c r="H7" s="15">
        <f>G7*F7</f>
        <v>2130</v>
      </c>
      <c r="I7" s="30">
        <v>30</v>
      </c>
      <c r="J7" s="38">
        <f>ROUND(H7*I7/100,0)</f>
        <v>639</v>
      </c>
    </row>
    <row r="8" ht="25.8" customHeight="1" spans="1:11">
      <c r="A8" s="12">
        <v>2</v>
      </c>
      <c r="B8" s="28" t="s">
        <v>114</v>
      </c>
      <c r="C8" s="12" t="s">
        <v>115</v>
      </c>
      <c r="D8" s="12"/>
      <c r="E8" s="14" t="s">
        <v>112</v>
      </c>
      <c r="F8" s="29" t="s">
        <v>116</v>
      </c>
      <c r="G8" s="29">
        <v>699</v>
      </c>
      <c r="H8" s="15">
        <f t="shared" ref="H8:H26" si="0">G8*F8</f>
        <v>2097</v>
      </c>
      <c r="I8" s="30">
        <v>30</v>
      </c>
      <c r="J8" s="38">
        <f t="shared" ref="J8:J26" si="1">ROUND(H8*I8/100,0)</f>
        <v>629</v>
      </c>
    </row>
    <row r="9" ht="25.8" customHeight="1" spans="1:11">
      <c r="A9" s="12">
        <v>3</v>
      </c>
      <c r="B9" s="28" t="s">
        <v>117</v>
      </c>
      <c r="C9" s="12" t="s">
        <v>118</v>
      </c>
      <c r="D9" s="12"/>
      <c r="E9" s="14" t="s">
        <v>112</v>
      </c>
      <c r="F9" s="29" t="s">
        <v>113</v>
      </c>
      <c r="G9" s="29">
        <v>471</v>
      </c>
      <c r="H9" s="15">
        <f t="shared" si="0"/>
        <v>942</v>
      </c>
      <c r="I9" s="30">
        <v>30</v>
      </c>
      <c r="J9" s="38">
        <f t="shared" si="1"/>
        <v>283</v>
      </c>
    </row>
    <row r="10" ht="25.8" customHeight="1" spans="1:11">
      <c r="A10" s="12">
        <v>4</v>
      </c>
      <c r="B10" s="28" t="s">
        <v>120</v>
      </c>
      <c r="C10" s="12" t="s">
        <v>121</v>
      </c>
      <c r="D10" s="12"/>
      <c r="E10" s="14" t="s">
        <v>122</v>
      </c>
      <c r="F10" s="29" t="s">
        <v>109</v>
      </c>
      <c r="G10" s="29">
        <v>1780</v>
      </c>
      <c r="H10" s="15">
        <f t="shared" si="0"/>
        <v>1780</v>
      </c>
      <c r="I10" s="30">
        <v>10</v>
      </c>
      <c r="J10" s="38">
        <f t="shared" si="1"/>
        <v>178</v>
      </c>
      <c r="K10" s="37">
        <v>40787</v>
      </c>
    </row>
    <row r="11" ht="25.8" customHeight="1" spans="1:11">
      <c r="A11" s="12">
        <v>5</v>
      </c>
      <c r="B11" s="28" t="s">
        <v>120</v>
      </c>
      <c r="C11" s="12" t="s">
        <v>124</v>
      </c>
      <c r="D11" s="12"/>
      <c r="E11" s="14" t="s">
        <v>122</v>
      </c>
      <c r="F11" s="29" t="s">
        <v>109</v>
      </c>
      <c r="G11" s="29">
        <v>999</v>
      </c>
      <c r="H11" s="15">
        <f t="shared" si="0"/>
        <v>999</v>
      </c>
      <c r="I11" s="30">
        <v>10</v>
      </c>
      <c r="J11" s="38">
        <f t="shared" si="1"/>
        <v>100</v>
      </c>
      <c r="K11" s="37">
        <v>42522</v>
      </c>
    </row>
    <row r="12" ht="25.8" customHeight="1" spans="1:11">
      <c r="A12" s="12">
        <v>6</v>
      </c>
      <c r="B12" s="28" t="s">
        <v>126</v>
      </c>
      <c r="C12" s="12" t="s">
        <v>127</v>
      </c>
      <c r="D12" s="12"/>
      <c r="E12" s="14" t="s">
        <v>122</v>
      </c>
      <c r="F12" s="29" t="s">
        <v>113</v>
      </c>
      <c r="G12" s="29">
        <v>8999</v>
      </c>
      <c r="H12" s="15">
        <f t="shared" si="0"/>
        <v>17998</v>
      </c>
      <c r="I12" s="30">
        <v>20</v>
      </c>
      <c r="J12" s="38">
        <f t="shared" si="1"/>
        <v>3600</v>
      </c>
      <c r="K12" s="37">
        <v>43070</v>
      </c>
    </row>
    <row r="13" ht="25.8" customHeight="1" spans="1:11">
      <c r="A13" s="12">
        <v>7</v>
      </c>
      <c r="B13" s="28" t="s">
        <v>126</v>
      </c>
      <c r="C13" s="12" t="s">
        <v>129</v>
      </c>
      <c r="D13" s="13"/>
      <c r="E13" s="14" t="s">
        <v>122</v>
      </c>
      <c r="F13" s="29" t="s">
        <v>113</v>
      </c>
      <c r="G13" s="29">
        <v>4999</v>
      </c>
      <c r="H13" s="15">
        <f t="shared" si="0"/>
        <v>9998</v>
      </c>
      <c r="I13" s="30">
        <v>20</v>
      </c>
      <c r="J13" s="38">
        <f t="shared" si="1"/>
        <v>2000</v>
      </c>
      <c r="K13" s="37">
        <v>43071</v>
      </c>
    </row>
    <row r="14" ht="25.8" customHeight="1" spans="1:11">
      <c r="A14" s="12">
        <v>8</v>
      </c>
      <c r="B14" s="28" t="s">
        <v>131</v>
      </c>
      <c r="C14" s="12" t="s">
        <v>132</v>
      </c>
      <c r="D14" s="12"/>
      <c r="E14" s="14" t="s">
        <v>122</v>
      </c>
      <c r="F14" s="29" t="s">
        <v>123</v>
      </c>
      <c r="G14" s="29">
        <v>2299</v>
      </c>
      <c r="H14" s="15">
        <f t="shared" si="0"/>
        <v>11495</v>
      </c>
      <c r="I14" s="30">
        <v>20</v>
      </c>
      <c r="J14" s="38">
        <f t="shared" si="1"/>
        <v>2299</v>
      </c>
      <c r="K14" s="37">
        <v>43072</v>
      </c>
    </row>
    <row r="15" ht="25.8" customHeight="1" spans="1:11">
      <c r="A15" s="12">
        <v>9</v>
      </c>
      <c r="B15" s="28" t="s">
        <v>134</v>
      </c>
      <c r="C15" s="12" t="s">
        <v>135</v>
      </c>
      <c r="D15" s="12"/>
      <c r="E15" s="14" t="s">
        <v>122</v>
      </c>
      <c r="F15" s="29" t="s">
        <v>136</v>
      </c>
      <c r="G15" s="29">
        <v>1500</v>
      </c>
      <c r="H15" s="15">
        <f t="shared" si="0"/>
        <v>15000</v>
      </c>
      <c r="I15" s="30">
        <v>12</v>
      </c>
      <c r="J15" s="38">
        <f t="shared" si="1"/>
        <v>1800</v>
      </c>
    </row>
    <row r="16" ht="25.8" customHeight="1" spans="1:11">
      <c r="A16" s="12">
        <v>10</v>
      </c>
      <c r="B16" s="28" t="s">
        <v>137</v>
      </c>
      <c r="C16" s="12"/>
      <c r="D16" s="12"/>
      <c r="E16" s="14" t="s">
        <v>112</v>
      </c>
      <c r="F16" s="29" t="s">
        <v>130</v>
      </c>
      <c r="G16" s="29">
        <v>44</v>
      </c>
      <c r="H16" s="15">
        <f t="shared" si="0"/>
        <v>352</v>
      </c>
      <c r="I16" s="30">
        <v>12</v>
      </c>
      <c r="J16" s="38">
        <f t="shared" si="1"/>
        <v>42</v>
      </c>
    </row>
    <row r="17" ht="25.8" customHeight="1" spans="1:11">
      <c r="A17" s="12">
        <v>11</v>
      </c>
      <c r="B17" s="28" t="s">
        <v>139</v>
      </c>
      <c r="C17" s="12" t="s">
        <v>140</v>
      </c>
      <c r="D17" s="12"/>
      <c r="E17" s="14" t="s">
        <v>112</v>
      </c>
      <c r="F17" s="29" t="s">
        <v>109</v>
      </c>
      <c r="G17" s="29">
        <v>2180</v>
      </c>
      <c r="H17" s="15">
        <f t="shared" si="0"/>
        <v>2180</v>
      </c>
      <c r="I17" s="30">
        <v>15</v>
      </c>
      <c r="J17" s="38">
        <f t="shared" si="1"/>
        <v>327</v>
      </c>
    </row>
    <row r="18" ht="25.8" customHeight="1" spans="1:11">
      <c r="A18" s="12">
        <v>12</v>
      </c>
      <c r="B18" s="28" t="s">
        <v>142</v>
      </c>
      <c r="C18" s="12"/>
      <c r="D18" s="12"/>
      <c r="E18" s="14" t="s">
        <v>122</v>
      </c>
      <c r="F18" s="29" t="s">
        <v>109</v>
      </c>
      <c r="G18" s="29">
        <v>337</v>
      </c>
      <c r="H18" s="15">
        <f t="shared" si="0"/>
        <v>337</v>
      </c>
      <c r="I18" s="30">
        <v>12</v>
      </c>
      <c r="J18" s="38">
        <f t="shared" si="1"/>
        <v>40</v>
      </c>
    </row>
    <row r="19" ht="25.8" customHeight="1" spans="1:11">
      <c r="A19" s="12">
        <v>13</v>
      </c>
      <c r="B19" s="28" t="s">
        <v>144</v>
      </c>
      <c r="C19" s="12"/>
      <c r="D19" s="12"/>
      <c r="E19" s="14" t="s">
        <v>122</v>
      </c>
      <c r="F19" s="29" t="s">
        <v>109</v>
      </c>
      <c r="G19" s="29">
        <v>32</v>
      </c>
      <c r="H19" s="15">
        <f t="shared" si="0"/>
        <v>32</v>
      </c>
      <c r="I19" s="30">
        <v>15</v>
      </c>
      <c r="J19" s="38">
        <f t="shared" si="1"/>
        <v>5</v>
      </c>
    </row>
    <row r="20" ht="25.8" customHeight="1" spans="1:11">
      <c r="A20" s="12">
        <v>14</v>
      </c>
      <c r="B20" s="28" t="s">
        <v>146</v>
      </c>
      <c r="C20" s="12" t="s">
        <v>147</v>
      </c>
      <c r="D20" s="12"/>
      <c r="E20" s="14" t="s">
        <v>122</v>
      </c>
      <c r="F20" s="29" t="s">
        <v>109</v>
      </c>
      <c r="G20" s="29">
        <v>3675</v>
      </c>
      <c r="H20" s="15">
        <f t="shared" si="0"/>
        <v>3675</v>
      </c>
      <c r="I20" s="30">
        <v>15</v>
      </c>
      <c r="J20" s="38">
        <f t="shared" si="1"/>
        <v>551</v>
      </c>
    </row>
    <row r="21" ht="25.8" customHeight="1" spans="1:11">
      <c r="A21" s="12">
        <v>15</v>
      </c>
      <c r="B21" s="28" t="s">
        <v>149</v>
      </c>
      <c r="C21" s="12"/>
      <c r="D21" s="12"/>
      <c r="E21" s="14" t="s">
        <v>122</v>
      </c>
      <c r="F21" s="29" t="s">
        <v>109</v>
      </c>
      <c r="G21" s="29">
        <v>3810</v>
      </c>
      <c r="H21" s="15">
        <f t="shared" si="0"/>
        <v>3810</v>
      </c>
      <c r="I21" s="30">
        <v>12</v>
      </c>
      <c r="J21" s="38">
        <f t="shared" si="1"/>
        <v>457</v>
      </c>
    </row>
    <row r="22" ht="25.8" customHeight="1" spans="1:11">
      <c r="A22" s="12">
        <v>16</v>
      </c>
      <c r="B22" s="28" t="s">
        <v>151</v>
      </c>
      <c r="C22" s="12"/>
      <c r="D22" s="12"/>
      <c r="E22" s="14" t="s">
        <v>122</v>
      </c>
      <c r="F22" s="29" t="s">
        <v>113</v>
      </c>
      <c r="G22" s="29">
        <v>2200</v>
      </c>
      <c r="H22" s="15">
        <f t="shared" si="0"/>
        <v>4400</v>
      </c>
      <c r="I22" s="30">
        <v>12</v>
      </c>
      <c r="J22" s="38">
        <f t="shared" si="1"/>
        <v>528</v>
      </c>
      <c r="K22" s="37">
        <v>43070</v>
      </c>
    </row>
    <row r="23" ht="25.8" customHeight="1" spans="1:11">
      <c r="A23" s="12">
        <v>17</v>
      </c>
      <c r="B23" s="28" t="s">
        <v>153</v>
      </c>
      <c r="C23" s="12" t="s">
        <v>209</v>
      </c>
      <c r="D23" s="12"/>
      <c r="E23" s="14" t="s">
        <v>122</v>
      </c>
      <c r="F23" s="29" t="s">
        <v>109</v>
      </c>
      <c r="G23" s="29">
        <v>3500</v>
      </c>
      <c r="H23" s="15">
        <f t="shared" si="0"/>
        <v>3500</v>
      </c>
      <c r="I23" s="30">
        <v>5</v>
      </c>
      <c r="J23" s="38">
        <f t="shared" si="1"/>
        <v>175</v>
      </c>
    </row>
    <row r="24" ht="25.8" customHeight="1" spans="1:11">
      <c r="A24" s="12">
        <v>18</v>
      </c>
      <c r="B24" s="28" t="s">
        <v>156</v>
      </c>
      <c r="C24" s="12" t="s">
        <v>157</v>
      </c>
      <c r="D24" s="12"/>
      <c r="E24" s="14" t="s">
        <v>122</v>
      </c>
      <c r="F24" s="29" t="s">
        <v>109</v>
      </c>
      <c r="G24" s="29">
        <v>1355</v>
      </c>
      <c r="H24" s="15">
        <f t="shared" si="0"/>
        <v>1355</v>
      </c>
      <c r="I24" s="30">
        <v>18</v>
      </c>
      <c r="J24" s="38">
        <f t="shared" si="1"/>
        <v>244</v>
      </c>
    </row>
    <row r="25" ht="38.25" customHeight="1" spans="1:11">
      <c r="A25" s="12">
        <v>1</v>
      </c>
      <c r="B25" s="28" t="s">
        <v>159</v>
      </c>
      <c r="C25" s="12" t="s">
        <v>160</v>
      </c>
      <c r="D25" s="12"/>
      <c r="E25" s="14" t="s">
        <v>161</v>
      </c>
      <c r="F25" s="29">
        <v>4</v>
      </c>
      <c r="G25" s="29">
        <v>900</v>
      </c>
      <c r="H25" s="15">
        <f t="shared" si="0"/>
        <v>3600</v>
      </c>
      <c r="I25" s="30">
        <v>30</v>
      </c>
      <c r="J25" s="38">
        <f t="shared" si="1"/>
        <v>1080</v>
      </c>
    </row>
    <row r="26" ht="38.25" customHeight="1" spans="1:11">
      <c r="A26" s="12">
        <v>2</v>
      </c>
      <c r="B26" s="28" t="s">
        <v>162</v>
      </c>
      <c r="C26" s="12" t="s">
        <v>163</v>
      </c>
      <c r="D26" s="12"/>
      <c r="E26" s="14" t="s">
        <v>112</v>
      </c>
      <c r="F26" s="29">
        <v>8</v>
      </c>
      <c r="G26" s="29">
        <v>900</v>
      </c>
      <c r="H26" s="15">
        <f t="shared" si="0"/>
        <v>7200</v>
      </c>
      <c r="I26" s="30">
        <v>30</v>
      </c>
      <c r="J26" s="38">
        <f t="shared" si="1"/>
        <v>2160</v>
      </c>
    </row>
    <row r="27" ht="38.25" customHeight="1" spans="1:11">
      <c r="A27" s="12">
        <v>3</v>
      </c>
      <c r="B27" s="28" t="s">
        <v>126</v>
      </c>
      <c r="C27" s="12" t="s">
        <v>129</v>
      </c>
      <c r="D27" s="12"/>
      <c r="E27" s="14" t="s">
        <v>122</v>
      </c>
      <c r="F27" s="29">
        <v>5</v>
      </c>
      <c r="G27" s="29">
        <v>4999</v>
      </c>
      <c r="H27" s="15">
        <f t="shared" ref="H27:H56" si="2">G27*F27</f>
        <v>24995</v>
      </c>
      <c r="I27" s="30">
        <v>20</v>
      </c>
      <c r="J27" s="38">
        <f t="shared" ref="J27:J57" si="3">ROUND(H27*I27/100,0)</f>
        <v>4999</v>
      </c>
    </row>
    <row r="28" ht="38.25" customHeight="1" spans="1:11">
      <c r="A28" s="12">
        <v>22</v>
      </c>
      <c r="B28" s="28" t="s">
        <v>164</v>
      </c>
      <c r="C28" s="12" t="s">
        <v>165</v>
      </c>
      <c r="D28" s="12"/>
      <c r="E28" s="14" t="s">
        <v>13</v>
      </c>
      <c r="F28" s="29">
        <v>1</v>
      </c>
      <c r="G28" s="29">
        <v>1748</v>
      </c>
      <c r="H28" s="15">
        <f t="shared" si="2"/>
        <v>1748</v>
      </c>
      <c r="I28" s="30">
        <v>15</v>
      </c>
      <c r="J28" s="38">
        <f t="shared" si="3"/>
        <v>262</v>
      </c>
    </row>
    <row r="29" ht="38.25" customHeight="1" spans="1:11">
      <c r="A29" s="12">
        <v>23</v>
      </c>
      <c r="B29" s="28" t="s">
        <v>166</v>
      </c>
      <c r="C29" s="13" t="s">
        <v>210</v>
      </c>
      <c r="D29" s="12"/>
      <c r="E29" s="14" t="s">
        <v>13</v>
      </c>
      <c r="F29" s="29">
        <v>6</v>
      </c>
      <c r="G29" s="29">
        <v>2600</v>
      </c>
      <c r="H29" s="15">
        <f t="shared" si="2"/>
        <v>15600</v>
      </c>
      <c r="I29" s="30">
        <v>20</v>
      </c>
      <c r="J29" s="38">
        <f t="shared" si="3"/>
        <v>3120</v>
      </c>
    </row>
    <row r="30" ht="38.25" customHeight="1" spans="1:11">
      <c r="A30" s="12">
        <v>24</v>
      </c>
      <c r="B30" s="28" t="s">
        <v>168</v>
      </c>
      <c r="C30" s="12"/>
      <c r="D30" s="12"/>
      <c r="E30" s="14" t="s">
        <v>13</v>
      </c>
      <c r="F30" s="29">
        <v>4</v>
      </c>
      <c r="G30" s="29">
        <v>245</v>
      </c>
      <c r="H30" s="15">
        <f t="shared" si="2"/>
        <v>980</v>
      </c>
      <c r="I30" s="30">
        <v>15</v>
      </c>
      <c r="J30" s="38">
        <f t="shared" si="3"/>
        <v>147</v>
      </c>
    </row>
    <row r="31" ht="38.25" customHeight="1" spans="1:11">
      <c r="A31" s="12">
        <v>25</v>
      </c>
      <c r="B31" s="28" t="s">
        <v>169</v>
      </c>
      <c r="C31" s="12" t="s">
        <v>170</v>
      </c>
      <c r="D31" s="12"/>
      <c r="E31" s="14" t="s">
        <v>112</v>
      </c>
      <c r="F31" s="29">
        <v>3</v>
      </c>
      <c r="G31" s="29">
        <v>2</v>
      </c>
      <c r="H31" s="15">
        <f t="shared" si="2"/>
        <v>6</v>
      </c>
      <c r="I31" s="30">
        <v>18</v>
      </c>
      <c r="J31" s="38">
        <f t="shared" si="3"/>
        <v>1</v>
      </c>
    </row>
    <row r="32" ht="38.25" customHeight="1" spans="1:11">
      <c r="A32" s="12">
        <v>26</v>
      </c>
      <c r="B32" s="28" t="s">
        <v>171</v>
      </c>
      <c r="C32" s="12"/>
      <c r="D32" s="12"/>
      <c r="E32" s="14" t="s">
        <v>112</v>
      </c>
      <c r="F32" s="29">
        <v>25</v>
      </c>
      <c r="G32" s="29">
        <v>599</v>
      </c>
      <c r="H32" s="15">
        <f t="shared" si="2"/>
        <v>14975</v>
      </c>
      <c r="I32" s="30">
        <v>5</v>
      </c>
      <c r="J32" s="38">
        <f>25*15</f>
        <v>375</v>
      </c>
    </row>
    <row r="33" ht="38.25" customHeight="1" spans="1:10">
      <c r="A33" s="12">
        <v>27</v>
      </c>
      <c r="B33" s="28" t="s">
        <v>172</v>
      </c>
      <c r="C33" s="12"/>
      <c r="D33" s="12"/>
      <c r="E33" s="14" t="s">
        <v>112</v>
      </c>
      <c r="F33" s="29">
        <v>1</v>
      </c>
      <c r="G33" s="29">
        <v>159</v>
      </c>
      <c r="H33" s="15">
        <f t="shared" si="2"/>
        <v>159</v>
      </c>
      <c r="I33" s="30">
        <v>18</v>
      </c>
      <c r="J33" s="38">
        <f t="shared" si="3"/>
        <v>29</v>
      </c>
    </row>
    <row r="34" ht="38.25" customHeight="1" spans="1:10">
      <c r="A34" s="12">
        <v>28</v>
      </c>
      <c r="B34" s="28" t="s">
        <v>173</v>
      </c>
      <c r="C34" s="12"/>
      <c r="D34" s="12"/>
      <c r="E34" s="14" t="s">
        <v>161</v>
      </c>
      <c r="F34" s="29">
        <v>4</v>
      </c>
      <c r="G34" s="29">
        <v>169</v>
      </c>
      <c r="H34" s="15">
        <f t="shared" si="2"/>
        <v>676</v>
      </c>
      <c r="I34" s="30">
        <v>30</v>
      </c>
      <c r="J34" s="38">
        <f t="shared" si="3"/>
        <v>203</v>
      </c>
    </row>
    <row r="35" ht="38.25" customHeight="1" spans="1:10">
      <c r="A35" s="12">
        <v>29</v>
      </c>
      <c r="B35" s="28" t="s">
        <v>174</v>
      </c>
      <c r="C35" s="12" t="s">
        <v>175</v>
      </c>
      <c r="D35" s="12"/>
      <c r="E35" s="14" t="s">
        <v>122</v>
      </c>
      <c r="F35" s="29">
        <v>1</v>
      </c>
      <c r="G35" s="29">
        <v>434</v>
      </c>
      <c r="H35" s="15">
        <f t="shared" si="2"/>
        <v>434</v>
      </c>
      <c r="I35" s="30">
        <v>18</v>
      </c>
      <c r="J35" s="38">
        <f t="shared" si="3"/>
        <v>78</v>
      </c>
    </row>
    <row r="36" ht="38.25" customHeight="1" spans="1:10">
      <c r="A36" s="12">
        <v>30</v>
      </c>
      <c r="B36" s="28" t="s">
        <v>176</v>
      </c>
      <c r="C36" s="12"/>
      <c r="D36" s="12"/>
      <c r="E36" s="14" t="s">
        <v>112</v>
      </c>
      <c r="F36" s="29">
        <v>1</v>
      </c>
      <c r="G36" s="29">
        <v>32</v>
      </c>
      <c r="H36" s="15">
        <f t="shared" si="2"/>
        <v>32</v>
      </c>
      <c r="I36" s="30">
        <v>18</v>
      </c>
      <c r="J36" s="38">
        <f t="shared" si="3"/>
        <v>6</v>
      </c>
    </row>
    <row r="37" ht="38.25" customHeight="1" spans="1:10">
      <c r="A37" s="12">
        <v>31</v>
      </c>
      <c r="B37" s="28" t="s">
        <v>177</v>
      </c>
      <c r="C37" s="12" t="s">
        <v>170</v>
      </c>
      <c r="D37" s="12"/>
      <c r="E37" s="14" t="s">
        <v>112</v>
      </c>
      <c r="F37" s="29">
        <v>1</v>
      </c>
      <c r="G37" s="29">
        <v>5</v>
      </c>
      <c r="H37" s="15">
        <f t="shared" si="2"/>
        <v>5</v>
      </c>
      <c r="I37" s="30">
        <v>18</v>
      </c>
      <c r="J37" s="38">
        <f t="shared" si="3"/>
        <v>1</v>
      </c>
    </row>
    <row r="38" ht="38.25" customHeight="1" spans="1:10">
      <c r="A38" s="12">
        <v>32</v>
      </c>
      <c r="B38" s="28" t="s">
        <v>178</v>
      </c>
      <c r="C38" s="12"/>
      <c r="D38" s="12"/>
      <c r="E38" s="14" t="s">
        <v>112</v>
      </c>
      <c r="F38" s="29">
        <v>1</v>
      </c>
      <c r="G38" s="29">
        <v>10</v>
      </c>
      <c r="H38" s="15">
        <f t="shared" si="2"/>
        <v>10</v>
      </c>
      <c r="I38" s="30">
        <v>18</v>
      </c>
      <c r="J38" s="38">
        <f t="shared" si="3"/>
        <v>2</v>
      </c>
    </row>
    <row r="39" ht="38.25" customHeight="1" spans="1:10">
      <c r="A39" s="12">
        <v>33</v>
      </c>
      <c r="B39" s="28" t="s">
        <v>179</v>
      </c>
      <c r="C39" s="12"/>
      <c r="D39" s="12"/>
      <c r="E39" s="14" t="s">
        <v>112</v>
      </c>
      <c r="F39" s="29">
        <v>4</v>
      </c>
      <c r="G39" s="29">
        <v>5</v>
      </c>
      <c r="H39" s="15">
        <f t="shared" si="2"/>
        <v>20</v>
      </c>
      <c r="I39" s="30">
        <v>10</v>
      </c>
      <c r="J39" s="38">
        <f t="shared" si="3"/>
        <v>2</v>
      </c>
    </row>
    <row r="40" ht="38.25" customHeight="1" spans="1:10">
      <c r="A40" s="12">
        <v>34</v>
      </c>
      <c r="B40" s="28" t="s">
        <v>180</v>
      </c>
      <c r="C40" s="13" t="s">
        <v>181</v>
      </c>
      <c r="D40" s="12"/>
      <c r="E40" s="14" t="s">
        <v>112</v>
      </c>
      <c r="F40" s="29">
        <v>8</v>
      </c>
      <c r="G40" s="29">
        <v>10</v>
      </c>
      <c r="H40" s="15">
        <f t="shared" si="2"/>
        <v>80</v>
      </c>
      <c r="I40" s="30">
        <v>15</v>
      </c>
      <c r="J40" s="38">
        <f t="shared" si="3"/>
        <v>12</v>
      </c>
    </row>
    <row r="41" ht="38.25" customHeight="1" spans="1:10">
      <c r="A41" s="12">
        <v>35</v>
      </c>
      <c r="B41" s="28" t="s">
        <v>182</v>
      </c>
      <c r="C41" s="12"/>
      <c r="D41" s="12"/>
      <c r="E41" s="14" t="s">
        <v>112</v>
      </c>
      <c r="F41" s="29">
        <v>31</v>
      </c>
      <c r="G41" s="29">
        <v>30</v>
      </c>
      <c r="H41" s="15">
        <f t="shared" si="2"/>
        <v>930</v>
      </c>
      <c r="I41" s="30">
        <v>18</v>
      </c>
      <c r="J41" s="38">
        <f t="shared" si="3"/>
        <v>167</v>
      </c>
    </row>
    <row r="42" ht="38.25" customHeight="1" spans="1:10">
      <c r="A42" s="12">
        <v>36</v>
      </c>
      <c r="B42" s="28" t="s">
        <v>183</v>
      </c>
      <c r="C42" s="12" t="s">
        <v>184</v>
      </c>
      <c r="D42" s="12"/>
      <c r="E42" s="14" t="s">
        <v>161</v>
      </c>
      <c r="F42" s="29">
        <v>1</v>
      </c>
      <c r="G42" s="29">
        <v>810</v>
      </c>
      <c r="H42" s="15">
        <f t="shared" si="2"/>
        <v>810</v>
      </c>
      <c r="I42" s="30">
        <v>30</v>
      </c>
      <c r="J42" s="38">
        <f t="shared" si="3"/>
        <v>243</v>
      </c>
    </row>
    <row r="43" ht="38.25" customHeight="1" spans="1:10">
      <c r="A43" s="12">
        <v>37</v>
      </c>
      <c r="B43" s="28" t="s">
        <v>185</v>
      </c>
      <c r="C43" s="12"/>
      <c r="D43" s="12"/>
      <c r="E43" s="14" t="s">
        <v>112</v>
      </c>
      <c r="F43" s="29">
        <v>12</v>
      </c>
      <c r="G43" s="29">
        <v>80</v>
      </c>
      <c r="H43" s="15">
        <f t="shared" si="2"/>
        <v>960</v>
      </c>
      <c r="I43" s="30">
        <v>30</v>
      </c>
      <c r="J43" s="38">
        <f t="shared" si="3"/>
        <v>288</v>
      </c>
    </row>
    <row r="44" ht="38.25" customHeight="1" spans="1:10">
      <c r="A44" s="12">
        <v>38</v>
      </c>
      <c r="B44" s="28" t="s">
        <v>186</v>
      </c>
      <c r="C44" s="12"/>
      <c r="D44" s="12"/>
      <c r="E44" s="14" t="s">
        <v>161</v>
      </c>
      <c r="F44" s="29">
        <v>5</v>
      </c>
      <c r="G44" s="29">
        <v>178</v>
      </c>
      <c r="H44" s="15">
        <f t="shared" si="2"/>
        <v>890</v>
      </c>
      <c r="I44" s="30">
        <v>30</v>
      </c>
      <c r="J44" s="38">
        <f t="shared" si="3"/>
        <v>267</v>
      </c>
    </row>
    <row r="45" ht="38.25" customHeight="1" spans="1:10">
      <c r="A45" s="12">
        <v>39</v>
      </c>
      <c r="B45" s="28" t="s">
        <v>187</v>
      </c>
      <c r="C45" s="12"/>
      <c r="D45" s="12"/>
      <c r="E45" s="14" t="s">
        <v>112</v>
      </c>
      <c r="F45" s="29">
        <v>1</v>
      </c>
      <c r="G45" s="29">
        <v>355</v>
      </c>
      <c r="H45" s="15">
        <f t="shared" si="2"/>
        <v>355</v>
      </c>
      <c r="I45" s="30">
        <v>24</v>
      </c>
      <c r="J45" s="38">
        <f t="shared" si="3"/>
        <v>85</v>
      </c>
    </row>
    <row r="46" ht="38.25" customHeight="1" spans="1:10">
      <c r="A46" s="12">
        <v>40</v>
      </c>
      <c r="B46" s="28" t="s">
        <v>186</v>
      </c>
      <c r="C46" s="12"/>
      <c r="D46" s="12"/>
      <c r="E46" s="14" t="s">
        <v>161</v>
      </c>
      <c r="F46" s="29">
        <v>1</v>
      </c>
      <c r="G46" s="29">
        <v>178</v>
      </c>
      <c r="H46" s="15">
        <f t="shared" si="2"/>
        <v>178</v>
      </c>
      <c r="I46" s="30">
        <v>24</v>
      </c>
      <c r="J46" s="38">
        <f t="shared" si="3"/>
        <v>43</v>
      </c>
    </row>
    <row r="47" ht="38.25" customHeight="1" spans="1:10">
      <c r="A47" s="12">
        <v>41</v>
      </c>
      <c r="B47" s="28" t="s">
        <v>188</v>
      </c>
      <c r="C47" s="12"/>
      <c r="D47" s="12"/>
      <c r="E47" s="14" t="s">
        <v>112</v>
      </c>
      <c r="F47" s="29">
        <v>1</v>
      </c>
      <c r="G47" s="29">
        <v>150</v>
      </c>
      <c r="H47" s="15">
        <f t="shared" si="2"/>
        <v>150</v>
      </c>
      <c r="I47" s="30">
        <v>24</v>
      </c>
      <c r="J47" s="38">
        <f t="shared" si="3"/>
        <v>36</v>
      </c>
    </row>
    <row r="48" ht="38.25" customHeight="1" spans="1:10">
      <c r="A48" s="12">
        <v>42</v>
      </c>
      <c r="B48" s="28" t="s">
        <v>189</v>
      </c>
      <c r="C48" s="13" t="s">
        <v>190</v>
      </c>
      <c r="D48" s="12"/>
      <c r="E48" s="14" t="s">
        <v>13</v>
      </c>
      <c r="F48" s="29">
        <v>1</v>
      </c>
      <c r="G48" s="29">
        <v>2200</v>
      </c>
      <c r="H48" s="15">
        <f t="shared" si="2"/>
        <v>2200</v>
      </c>
      <c r="I48" s="30">
        <v>24</v>
      </c>
      <c r="J48" s="38">
        <f t="shared" si="3"/>
        <v>528</v>
      </c>
    </row>
    <row r="49" ht="38.25" customHeight="1" spans="1:10">
      <c r="A49" s="12">
        <v>43</v>
      </c>
      <c r="B49" s="28" t="s">
        <v>191</v>
      </c>
      <c r="C49" s="12"/>
      <c r="D49" s="12"/>
      <c r="E49" s="14" t="s">
        <v>112</v>
      </c>
      <c r="F49" s="29">
        <v>1</v>
      </c>
      <c r="G49" s="29">
        <v>500</v>
      </c>
      <c r="H49" s="15">
        <f t="shared" si="2"/>
        <v>500</v>
      </c>
      <c r="I49" s="30">
        <v>12</v>
      </c>
      <c r="J49" s="38">
        <f t="shared" si="3"/>
        <v>60</v>
      </c>
    </row>
    <row r="50" ht="38.25" customHeight="1" spans="1:10">
      <c r="A50" s="12">
        <v>44</v>
      </c>
      <c r="B50" s="28" t="s">
        <v>192</v>
      </c>
      <c r="C50" s="12"/>
      <c r="D50" s="12"/>
      <c r="E50" s="14" t="s">
        <v>112</v>
      </c>
      <c r="F50" s="29">
        <v>4</v>
      </c>
      <c r="G50" s="29">
        <v>80</v>
      </c>
      <c r="H50" s="15">
        <f t="shared" si="2"/>
        <v>320</v>
      </c>
      <c r="I50" s="30">
        <v>12</v>
      </c>
      <c r="J50" s="38">
        <f t="shared" si="3"/>
        <v>38</v>
      </c>
    </row>
    <row r="51" ht="38.25" customHeight="1" spans="1:10">
      <c r="A51" s="12">
        <v>45</v>
      </c>
      <c r="B51" s="28" t="s">
        <v>193</v>
      </c>
      <c r="C51" s="12"/>
      <c r="D51" s="12"/>
      <c r="E51" s="14" t="s">
        <v>112</v>
      </c>
      <c r="F51" s="29">
        <v>1</v>
      </c>
      <c r="G51" s="29">
        <v>80</v>
      </c>
      <c r="H51" s="15">
        <f t="shared" si="2"/>
        <v>80</v>
      </c>
      <c r="I51" s="30">
        <v>12</v>
      </c>
      <c r="J51" s="38">
        <f t="shared" si="3"/>
        <v>10</v>
      </c>
    </row>
    <row r="52" ht="38.25" customHeight="1" spans="1:10">
      <c r="A52" s="12">
        <v>46</v>
      </c>
      <c r="B52" s="28" t="s">
        <v>194</v>
      </c>
      <c r="C52" s="12"/>
      <c r="D52" s="12"/>
      <c r="E52" s="14" t="s">
        <v>161</v>
      </c>
      <c r="F52" s="29">
        <v>1</v>
      </c>
      <c r="G52" s="29">
        <v>680</v>
      </c>
      <c r="H52" s="15">
        <f t="shared" si="2"/>
        <v>680</v>
      </c>
      <c r="I52" s="30">
        <v>20</v>
      </c>
      <c r="J52" s="38">
        <f t="shared" si="3"/>
        <v>136</v>
      </c>
    </row>
    <row r="53" ht="38.25" customHeight="1" spans="1:10">
      <c r="A53" s="12">
        <v>47</v>
      </c>
      <c r="B53" s="28" t="s">
        <v>195</v>
      </c>
      <c r="C53" s="12"/>
      <c r="D53" s="12"/>
      <c r="E53" s="14" t="s">
        <v>112</v>
      </c>
      <c r="F53" s="29">
        <v>1</v>
      </c>
      <c r="G53" s="29">
        <v>699</v>
      </c>
      <c r="H53" s="15">
        <f t="shared" si="2"/>
        <v>699</v>
      </c>
      <c r="I53" s="30">
        <v>24</v>
      </c>
      <c r="J53" s="38">
        <f t="shared" si="3"/>
        <v>168</v>
      </c>
    </row>
    <row r="54" ht="38.25" customHeight="1" spans="1:10">
      <c r="A54" s="12">
        <v>48</v>
      </c>
      <c r="B54" s="28" t="s">
        <v>196</v>
      </c>
      <c r="C54" s="12"/>
      <c r="D54" s="12"/>
      <c r="E54" s="14" t="s">
        <v>112</v>
      </c>
      <c r="F54" s="29">
        <v>1</v>
      </c>
      <c r="G54" s="29">
        <v>80</v>
      </c>
      <c r="H54" s="15">
        <f t="shared" si="2"/>
        <v>80</v>
      </c>
      <c r="I54" s="30">
        <v>24</v>
      </c>
      <c r="J54" s="38">
        <f t="shared" si="3"/>
        <v>19</v>
      </c>
    </row>
    <row r="55" ht="38.25" customHeight="1" spans="1:10">
      <c r="A55" s="12">
        <v>49</v>
      </c>
      <c r="B55" s="28" t="s">
        <v>191</v>
      </c>
      <c r="C55" s="12"/>
      <c r="D55" s="12"/>
      <c r="E55" s="14" t="s">
        <v>112</v>
      </c>
      <c r="F55" s="29">
        <v>1</v>
      </c>
      <c r="G55" s="29">
        <v>150</v>
      </c>
      <c r="H55" s="15">
        <f t="shared" si="2"/>
        <v>150</v>
      </c>
      <c r="I55" s="30">
        <v>24</v>
      </c>
      <c r="J55" s="38">
        <f t="shared" si="3"/>
        <v>36</v>
      </c>
    </row>
    <row r="56" ht="38.25" customHeight="1" spans="1:10">
      <c r="A56" s="12">
        <v>50</v>
      </c>
      <c r="B56" s="28" t="s">
        <v>197</v>
      </c>
      <c r="C56" s="12"/>
      <c r="D56" s="12"/>
      <c r="E56" s="14" t="s">
        <v>112</v>
      </c>
      <c r="F56" s="29">
        <v>7</v>
      </c>
      <c r="G56" s="29">
        <v>85</v>
      </c>
      <c r="H56" s="15">
        <f t="shared" si="2"/>
        <v>595</v>
      </c>
      <c r="I56" s="30">
        <v>24</v>
      </c>
      <c r="J56" s="38">
        <f t="shared" si="3"/>
        <v>143</v>
      </c>
    </row>
    <row r="57" ht="38.25" customHeight="1" spans="1:10">
      <c r="A57" s="12">
        <v>51</v>
      </c>
      <c r="B57" s="28" t="s">
        <v>198</v>
      </c>
      <c r="C57" s="12"/>
      <c r="D57" s="12"/>
      <c r="E57" s="14" t="s">
        <v>199</v>
      </c>
      <c r="F57" s="29">
        <v>3</v>
      </c>
      <c r="G57" s="29">
        <v>465</v>
      </c>
      <c r="H57" s="15">
        <f>G57*2</f>
        <v>930</v>
      </c>
      <c r="I57" s="30">
        <v>80</v>
      </c>
      <c r="J57" s="38">
        <f t="shared" si="3"/>
        <v>744</v>
      </c>
    </row>
    <row r="58" ht="32.25" customHeight="1" spans="1:10">
      <c r="A58" s="20" t="s">
        <v>211</v>
      </c>
      <c r="B58" s="21"/>
      <c r="C58" s="21"/>
      <c r="D58" s="21"/>
      <c r="E58" s="21"/>
      <c r="F58" s="29">
        <f>SUM(F7:F57)</f>
        <v>150</v>
      </c>
      <c r="G58" s="29"/>
      <c r="H58" s="29">
        <f>SUM(H7:H57)</f>
        <v>163107</v>
      </c>
      <c r="I58" s="29"/>
      <c r="J58" s="23"/>
    </row>
    <row r="59" ht="25.5" customHeight="1" spans="1:10">
      <c r="A59" s="32"/>
      <c r="B59" s="33"/>
      <c r="C59" s="33"/>
      <c r="D59" s="33"/>
      <c r="E59" s="33"/>
      <c r="F59" s="34"/>
      <c r="G59" s="34"/>
      <c r="H59" s="35"/>
      <c r="I59" s="35"/>
    </row>
    <row r="60" spans="1:10">
      <c r="A60" s="24"/>
      <c r="F60" s="24"/>
      <c r="G60" s="24"/>
    </row>
    <row r="61" spans="1:10">
      <c r="A61" s="24" t="s">
        <v>212</v>
      </c>
    </row>
    <row r="63" spans="1:10">
      <c r="A63" s="24"/>
      <c r="F63" s="36"/>
      <c r="G63" s="36"/>
    </row>
    <row r="66" spans="8:8">
      <c r="H66" s="36"/>
    </row>
  </sheetData>
  <autoFilter xmlns:etc="http://www.wps.cn/officeDocument/2017/etCustomData" ref="A6:K58" etc:filterBottomFollowUsedRange="0">
    <extLst/>
  </autoFilter>
  <mergeCells count="4">
    <mergeCell ref="A3:J3"/>
    <mergeCell ref="A4:J4"/>
    <mergeCell ref="I5:J5"/>
    <mergeCell ref="A58:E58"/>
  </mergeCells>
  <pageMargins left="1.10236220472441" right="0.708661417322835" top="0.354330708661417" bottom="0.354330708661417" header="0.31496062992126" footer="0.31496062992126"/>
  <pageSetup paperSize="9" scale="63" fitToHeight="10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3:O25"/>
  <sheetViews>
    <sheetView workbookViewId="0">
      <pane ySplit="6" topLeftCell="A14" activePane="bottomLeft" state="frozen"/>
      <selection/>
      <selection pane="bottomLeft" activeCell="I133" sqref="I133"/>
    </sheetView>
  </sheetViews>
  <sheetFormatPr defaultColWidth="9" defaultRowHeight="13.5"/>
  <cols>
    <col min="2" max="2" width="16.1083333333333" customWidth="1"/>
    <col min="3" max="4" width="14.2166666666667" customWidth="1"/>
    <col min="5" max="5" width="11.775" customWidth="1"/>
    <col min="7" max="11" width="13.1083333333333" customWidth="1"/>
    <col min="12" max="13" width="20.775" customWidth="1"/>
    <col min="14" max="14" width="20.3333333333333" customWidth="1"/>
    <col min="15" max="15" width="15" customWidth="1"/>
  </cols>
  <sheetData>
    <row r="3" ht="20.25" spans="1:15">
      <c r="A3" s="1" t="s">
        <v>213</v>
      </c>
      <c r="B3" s="1"/>
      <c r="C3" s="1"/>
      <c r="D3" s="1"/>
      <c r="E3" s="1"/>
      <c r="F3" s="1"/>
      <c r="G3" s="1"/>
      <c r="H3" s="1"/>
      <c r="I3" s="1"/>
      <c r="J3" s="1"/>
      <c r="K3" s="1"/>
      <c r="L3" s="1"/>
      <c r="M3" s="1"/>
      <c r="N3" s="1"/>
    </row>
    <row r="4" ht="14.25" customHeight="1" spans="1:15">
      <c r="A4" s="2" t="s">
        <v>214</v>
      </c>
      <c r="B4" s="2"/>
      <c r="C4" s="2"/>
      <c r="D4" s="2"/>
      <c r="E4" s="2"/>
      <c r="F4" s="2"/>
      <c r="G4" s="2"/>
      <c r="H4" s="2"/>
      <c r="I4" s="2"/>
      <c r="J4" s="2"/>
      <c r="K4" s="2"/>
      <c r="L4" s="2"/>
      <c r="M4" s="2"/>
      <c r="N4" s="2"/>
    </row>
    <row r="5" ht="16.5" customHeight="1" spans="1:15">
      <c r="A5" s="3" t="s">
        <v>215</v>
      </c>
      <c r="B5" s="3"/>
      <c r="C5" s="4"/>
      <c r="D5" s="4"/>
      <c r="E5" s="4"/>
      <c r="F5" s="5"/>
      <c r="G5" s="6"/>
      <c r="H5" s="6"/>
      <c r="I5" s="6"/>
      <c r="J5" s="6"/>
      <c r="K5" s="6"/>
      <c r="M5" s="26" t="s">
        <v>204</v>
      </c>
      <c r="N5" s="26"/>
    </row>
    <row r="6" ht="33.75" customHeight="1" spans="1:15">
      <c r="A6" s="9" t="s">
        <v>2</v>
      </c>
      <c r="B6" s="27" t="s">
        <v>3</v>
      </c>
      <c r="C6" s="10" t="s">
        <v>4</v>
      </c>
      <c r="D6" s="10" t="s">
        <v>5</v>
      </c>
      <c r="E6" s="10" t="s">
        <v>216</v>
      </c>
      <c r="F6" s="9" t="s">
        <v>6</v>
      </c>
      <c r="G6" s="9" t="s">
        <v>7</v>
      </c>
      <c r="H6" s="9" t="s">
        <v>217</v>
      </c>
      <c r="I6" s="9" t="s">
        <v>218</v>
      </c>
      <c r="J6" s="9" t="s">
        <v>219</v>
      </c>
      <c r="K6" s="9" t="s">
        <v>218</v>
      </c>
      <c r="L6" s="9" t="s">
        <v>220</v>
      </c>
      <c r="M6" s="9" t="s">
        <v>221</v>
      </c>
      <c r="N6" s="9" t="s">
        <v>9</v>
      </c>
    </row>
    <row r="7" ht="37.5" customHeight="1" spans="1:15">
      <c r="A7" s="12">
        <v>1</v>
      </c>
      <c r="B7" s="28" t="s">
        <v>222</v>
      </c>
      <c r="C7" s="12" t="s">
        <v>223</v>
      </c>
      <c r="D7" s="12" t="s">
        <v>224</v>
      </c>
      <c r="E7" s="12" t="s">
        <v>225</v>
      </c>
      <c r="F7" s="14" t="s">
        <v>122</v>
      </c>
      <c r="G7" s="29">
        <v>4</v>
      </c>
      <c r="H7" s="29">
        <f>50*15+100</f>
        <v>850</v>
      </c>
      <c r="I7" s="29">
        <v>2.35</v>
      </c>
      <c r="J7" s="29">
        <f>15*2*5.3</f>
        <v>159</v>
      </c>
      <c r="K7" s="29">
        <v>1.3</v>
      </c>
      <c r="L7" s="15">
        <f>ROUND((H7*I7+J7*K7)*G7,0)</f>
        <v>8817</v>
      </c>
      <c r="M7" s="30" t="s">
        <v>226</v>
      </c>
      <c r="N7" s="31"/>
      <c r="O7" s="18"/>
    </row>
    <row r="8" ht="42.75" customHeight="1" spans="1:15">
      <c r="A8" s="12">
        <v>2</v>
      </c>
      <c r="B8" s="28" t="s">
        <v>227</v>
      </c>
      <c r="C8" s="12" t="s">
        <v>228</v>
      </c>
      <c r="D8" s="12" t="s">
        <v>224</v>
      </c>
      <c r="E8" s="12" t="s">
        <v>225</v>
      </c>
      <c r="F8" s="14" t="s">
        <v>122</v>
      </c>
      <c r="G8" s="29">
        <v>1</v>
      </c>
      <c r="H8" s="29">
        <f>50*12</f>
        <v>600</v>
      </c>
      <c r="I8" s="29">
        <v>2.35</v>
      </c>
      <c r="J8" s="29">
        <f>12*2*5.3</f>
        <v>127.2</v>
      </c>
      <c r="K8" s="29">
        <v>1.3</v>
      </c>
      <c r="L8" s="15">
        <f t="shared" ref="L8:L9" si="0">ROUND((H8*I8+J8*K8)*G8,0)</f>
        <v>1575</v>
      </c>
      <c r="M8" s="30" t="s">
        <v>226</v>
      </c>
      <c r="N8" s="16"/>
      <c r="O8" s="18"/>
    </row>
    <row r="9" ht="42" customHeight="1" spans="1:15">
      <c r="A9" s="12">
        <v>3</v>
      </c>
      <c r="B9" s="28" t="s">
        <v>227</v>
      </c>
      <c r="C9" s="12" t="s">
        <v>229</v>
      </c>
      <c r="D9" s="12" t="s">
        <v>224</v>
      </c>
      <c r="E9" s="12" t="s">
        <v>225</v>
      </c>
      <c r="F9" s="14" t="s">
        <v>122</v>
      </c>
      <c r="G9" s="29">
        <v>1</v>
      </c>
      <c r="H9" s="29">
        <f>50*10</f>
        <v>500</v>
      </c>
      <c r="I9" s="29">
        <v>2.35</v>
      </c>
      <c r="J9" s="29">
        <f>10*2*5.3</f>
        <v>106</v>
      </c>
      <c r="K9" s="29">
        <v>1.3</v>
      </c>
      <c r="L9" s="15">
        <f t="shared" si="0"/>
        <v>1313</v>
      </c>
      <c r="M9" s="30" t="s">
        <v>226</v>
      </c>
      <c r="N9" s="16"/>
      <c r="O9" s="18"/>
    </row>
    <row r="10" ht="30.75" customHeight="1" spans="1:15">
      <c r="A10" s="12">
        <v>4</v>
      </c>
      <c r="B10" s="28" t="s">
        <v>230</v>
      </c>
      <c r="C10" s="12"/>
      <c r="D10" s="12"/>
      <c r="E10" s="12" t="s">
        <v>225</v>
      </c>
      <c r="F10" s="14" t="s">
        <v>122</v>
      </c>
      <c r="G10" s="29">
        <v>2</v>
      </c>
      <c r="H10" s="29"/>
      <c r="I10" s="29"/>
      <c r="J10" s="29"/>
      <c r="K10" s="29"/>
      <c r="L10" s="15">
        <f>100*2*2.35</f>
        <v>470</v>
      </c>
      <c r="M10" s="30" t="s">
        <v>226</v>
      </c>
      <c r="N10" s="16"/>
      <c r="O10" s="18"/>
    </row>
    <row r="11" ht="25.5" customHeight="1" spans="1:15">
      <c r="A11" s="12">
        <v>5</v>
      </c>
      <c r="B11" s="28" t="s">
        <v>231</v>
      </c>
      <c r="C11" s="12"/>
      <c r="D11" s="12" t="s">
        <v>232</v>
      </c>
      <c r="E11" s="12" t="s">
        <v>225</v>
      </c>
      <c r="F11" s="14" t="s">
        <v>122</v>
      </c>
      <c r="G11" s="29">
        <v>1</v>
      </c>
      <c r="H11" s="29"/>
      <c r="I11" s="29"/>
      <c r="J11" s="29"/>
      <c r="K11" s="29"/>
      <c r="L11" s="15">
        <f>100*2.35</f>
        <v>235</v>
      </c>
      <c r="M11" s="30" t="s">
        <v>226</v>
      </c>
      <c r="N11" s="17"/>
      <c r="O11" s="18"/>
    </row>
    <row r="12" ht="25.5" customHeight="1" spans="1:15">
      <c r="A12" s="12">
        <v>6</v>
      </c>
      <c r="B12" s="28" t="s">
        <v>233</v>
      </c>
      <c r="C12" s="12" t="s">
        <v>234</v>
      </c>
      <c r="D12" s="12" t="s">
        <v>224</v>
      </c>
      <c r="E12" s="12" t="s">
        <v>225</v>
      </c>
      <c r="F12" s="14" t="s">
        <v>122</v>
      </c>
      <c r="G12" s="29">
        <v>2</v>
      </c>
      <c r="H12" s="29">
        <v>1400</v>
      </c>
      <c r="I12" s="29">
        <v>2.35</v>
      </c>
      <c r="J12" s="29"/>
      <c r="K12" s="29"/>
      <c r="L12" s="15">
        <f>ROUND((H12*I12+J12*K12)*G12,0)</f>
        <v>6580</v>
      </c>
      <c r="M12" s="30" t="s">
        <v>226</v>
      </c>
      <c r="N12" s="16"/>
      <c r="O12" s="18"/>
    </row>
    <row r="13" ht="34.8" customHeight="1" spans="1:15">
      <c r="A13" s="12">
        <v>7</v>
      </c>
      <c r="B13" s="28" t="s">
        <v>235</v>
      </c>
      <c r="C13" s="12" t="s">
        <v>236</v>
      </c>
      <c r="D13" s="13" t="s">
        <v>237</v>
      </c>
      <c r="E13" s="12" t="s">
        <v>225</v>
      </c>
      <c r="F13" s="14" t="s">
        <v>122</v>
      </c>
      <c r="G13" s="29">
        <v>2</v>
      </c>
      <c r="H13" s="29">
        <f>50*8</f>
        <v>400</v>
      </c>
      <c r="I13" s="29">
        <v>2.35</v>
      </c>
      <c r="J13" s="29">
        <f>8*2*5.3</f>
        <v>84.8</v>
      </c>
      <c r="K13" s="29">
        <v>1.3</v>
      </c>
      <c r="L13" s="15">
        <f>ROUND((H13*I13+J13*K13)*G13,0)</f>
        <v>2100</v>
      </c>
      <c r="M13" s="30" t="s">
        <v>226</v>
      </c>
      <c r="N13" s="17"/>
      <c r="O13" s="18"/>
    </row>
    <row r="14" ht="38.25" customHeight="1" spans="1:15">
      <c r="A14" s="12">
        <v>8</v>
      </c>
      <c r="B14" s="28" t="s">
        <v>238</v>
      </c>
      <c r="C14" s="12" t="s">
        <v>239</v>
      </c>
      <c r="D14" s="12" t="s">
        <v>224</v>
      </c>
      <c r="E14" s="12" t="s">
        <v>225</v>
      </c>
      <c r="F14" s="14" t="s">
        <v>122</v>
      </c>
      <c r="G14" s="29">
        <v>1</v>
      </c>
      <c r="H14" s="29">
        <v>2000</v>
      </c>
      <c r="I14" s="29">
        <v>2.35</v>
      </c>
      <c r="J14" s="29"/>
      <c r="K14" s="29"/>
      <c r="L14" s="15">
        <f>(H14*I14+J14*K14)*G14</f>
        <v>4700</v>
      </c>
      <c r="M14" s="30" t="s">
        <v>226</v>
      </c>
      <c r="N14" s="17"/>
      <c r="O14" s="18"/>
    </row>
    <row r="15" ht="38.25" customHeight="1" spans="1:15">
      <c r="A15" s="12">
        <v>9</v>
      </c>
      <c r="B15" s="28" t="s">
        <v>227</v>
      </c>
      <c r="C15" s="12" t="s">
        <v>223</v>
      </c>
      <c r="D15" s="12"/>
      <c r="E15" s="12" t="s">
        <v>225</v>
      </c>
      <c r="F15" s="14" t="s">
        <v>122</v>
      </c>
      <c r="G15" s="29">
        <v>1</v>
      </c>
      <c r="H15" s="29">
        <f>50*15</f>
        <v>750</v>
      </c>
      <c r="I15" s="29">
        <v>2.35</v>
      </c>
      <c r="J15" s="29">
        <f>15*2*5.3</f>
        <v>159</v>
      </c>
      <c r="K15" s="29">
        <v>1.3</v>
      </c>
      <c r="L15" s="15">
        <f>ROUND((H15*I15+J15*K15)*G15,0)</f>
        <v>1969</v>
      </c>
      <c r="M15" s="30" t="s">
        <v>240</v>
      </c>
      <c r="N15" s="17"/>
      <c r="O15" s="18"/>
    </row>
    <row r="16" ht="38.25" customHeight="1" spans="1:15">
      <c r="A16" s="12">
        <v>10</v>
      </c>
      <c r="B16" s="28" t="s">
        <v>241</v>
      </c>
      <c r="C16" s="12"/>
      <c r="D16" s="12"/>
      <c r="E16" s="12" t="s">
        <v>225</v>
      </c>
      <c r="F16" s="14" t="s">
        <v>122</v>
      </c>
      <c r="G16" s="29">
        <v>1</v>
      </c>
      <c r="H16" s="29">
        <f>H14*0.8</f>
        <v>1600</v>
      </c>
      <c r="I16" s="29">
        <v>2.35</v>
      </c>
      <c r="J16" s="29"/>
      <c r="K16" s="29"/>
      <c r="L16" s="15">
        <f>(H16*I16+J16*K16)*G16</f>
        <v>3760</v>
      </c>
      <c r="M16" s="30" t="s">
        <v>240</v>
      </c>
      <c r="N16" s="17"/>
      <c r="O16" s="18"/>
    </row>
    <row r="17" ht="38.25" customHeight="1" spans="1:15">
      <c r="A17" s="12">
        <v>11</v>
      </c>
      <c r="B17" s="28" t="s">
        <v>227</v>
      </c>
      <c r="C17" s="12" t="s">
        <v>228</v>
      </c>
      <c r="D17" s="12"/>
      <c r="E17" s="12" t="s">
        <v>225</v>
      </c>
      <c r="F17" s="14" t="s">
        <v>122</v>
      </c>
      <c r="G17" s="29">
        <v>3</v>
      </c>
      <c r="H17" s="29">
        <f>50*12</f>
        <v>600</v>
      </c>
      <c r="I17" s="29">
        <v>2.35</v>
      </c>
      <c r="J17" s="29">
        <f>12*2*5.3</f>
        <v>127.2</v>
      </c>
      <c r="K17" s="29">
        <v>1.3</v>
      </c>
      <c r="L17" s="15">
        <f>ROUND((H17*I17+J17*K17)*G17,0)</f>
        <v>4726</v>
      </c>
      <c r="M17" s="30" t="s">
        <v>242</v>
      </c>
      <c r="N17" s="17"/>
      <c r="O17" s="18"/>
    </row>
    <row r="18" ht="38.25" customHeight="1" spans="1:15">
      <c r="A18" s="12">
        <v>12</v>
      </c>
      <c r="B18" s="28" t="s">
        <v>227</v>
      </c>
      <c r="C18" s="12" t="s">
        <v>223</v>
      </c>
      <c r="D18" s="12"/>
      <c r="E18" s="12" t="s">
        <v>225</v>
      </c>
      <c r="F18" s="14" t="s">
        <v>122</v>
      </c>
      <c r="G18" s="29">
        <v>1</v>
      </c>
      <c r="H18" s="29">
        <f>50*15</f>
        <v>750</v>
      </c>
      <c r="I18" s="29">
        <v>2.35</v>
      </c>
      <c r="J18" s="29">
        <f>15*2*5.3</f>
        <v>159</v>
      </c>
      <c r="K18" s="29">
        <v>2.3</v>
      </c>
      <c r="L18" s="15">
        <f>ROUND((H18*I18+J18*K18)*G18,0)</f>
        <v>2128</v>
      </c>
      <c r="M18" s="30" t="s">
        <v>242</v>
      </c>
      <c r="N18" s="17"/>
      <c r="O18" s="18"/>
    </row>
    <row r="19" ht="38.25" customHeight="1" spans="1:15">
      <c r="A19" s="12">
        <v>13</v>
      </c>
      <c r="B19" s="28" t="s">
        <v>243</v>
      </c>
      <c r="C19" s="12"/>
      <c r="D19" s="12"/>
      <c r="E19" s="12" t="s">
        <v>225</v>
      </c>
      <c r="F19" s="14" t="s">
        <v>122</v>
      </c>
      <c r="G19" s="29">
        <v>2</v>
      </c>
      <c r="H19" s="29"/>
      <c r="I19" s="29"/>
      <c r="J19" s="29"/>
      <c r="K19" s="29"/>
      <c r="L19" s="15">
        <f>(500+100)*2.35</f>
        <v>1410</v>
      </c>
      <c r="M19" s="30" t="s">
        <v>242</v>
      </c>
      <c r="N19" s="17"/>
      <c r="O19" s="18"/>
    </row>
    <row r="20" ht="32.25" customHeight="1" spans="1:15">
      <c r="A20" s="20" t="s">
        <v>211</v>
      </c>
      <c r="B20" s="21"/>
      <c r="C20" s="21"/>
      <c r="D20" s="21"/>
      <c r="E20" s="21"/>
      <c r="F20" s="21"/>
      <c r="G20" s="29">
        <f>SUM(G7:G19)</f>
        <v>22</v>
      </c>
      <c r="H20" s="29"/>
      <c r="I20" s="29"/>
      <c r="J20" s="29"/>
      <c r="K20" s="29"/>
      <c r="L20" s="29">
        <f>SUM(L7:L19)</f>
        <v>39783</v>
      </c>
      <c r="M20" s="29"/>
      <c r="N20" s="23"/>
    </row>
    <row r="21" ht="25.5" customHeight="1" spans="1:15">
      <c r="A21" s="32"/>
      <c r="B21" s="33"/>
      <c r="C21" s="33"/>
      <c r="D21" s="33"/>
      <c r="E21" s="33"/>
      <c r="F21" s="33"/>
      <c r="G21" s="34"/>
      <c r="H21" s="34"/>
      <c r="I21" s="34"/>
      <c r="J21" s="34"/>
      <c r="K21" s="34"/>
      <c r="L21" s="35"/>
      <c r="M21" s="35"/>
    </row>
    <row r="22" spans="1:15">
      <c r="A22" s="24" t="s">
        <v>244</v>
      </c>
      <c r="G22" s="24" t="s">
        <v>245</v>
      </c>
      <c r="H22" s="24"/>
      <c r="I22" s="24"/>
      <c r="J22" s="24"/>
      <c r="K22" s="24"/>
    </row>
    <row r="23" spans="1:15">
      <c r="A23" s="24" t="s">
        <v>212</v>
      </c>
    </row>
    <row r="25" spans="1:15">
      <c r="A25" s="24"/>
      <c r="G25" s="36"/>
      <c r="H25" s="36"/>
      <c r="I25" s="36"/>
      <c r="J25" s="36"/>
      <c r="K25" s="36"/>
    </row>
  </sheetData>
  <autoFilter xmlns:etc="http://www.wps.cn/officeDocument/2017/etCustomData" ref="A6:O20" etc:filterBottomFollowUsedRange="0">
    <extLst/>
  </autoFilter>
  <mergeCells count="4">
    <mergeCell ref="A3:N3"/>
    <mergeCell ref="A4:N4"/>
    <mergeCell ref="M5:N5"/>
    <mergeCell ref="A20:F20"/>
  </mergeCells>
  <pageMargins left="1.10236220472441" right="0.708661417322835" top="0.354330708661417" bottom="0.354330708661417" header="0.31496062992126" footer="0.31496062992126"/>
  <pageSetup paperSize="9" fitToHeight="10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3:K25"/>
  <sheetViews>
    <sheetView workbookViewId="0">
      <pane ySplit="6" topLeftCell="A16" activePane="bottomLeft" state="frozen"/>
      <selection/>
      <selection pane="bottomLeft" activeCell="I133" sqref="I133"/>
    </sheetView>
  </sheetViews>
  <sheetFormatPr defaultColWidth="9" defaultRowHeight="13.5"/>
  <cols>
    <col min="2" max="2" width="16.1083333333333" customWidth="1"/>
    <col min="3" max="4" width="14.2166666666667" customWidth="1"/>
    <col min="5" max="5" width="11.775" customWidth="1"/>
    <col min="7" max="7" width="13.1083333333333" customWidth="1"/>
    <col min="8" max="9" width="20.775" customWidth="1"/>
    <col min="10" max="10" width="20.3333333333333" customWidth="1"/>
    <col min="11" max="11" width="15" customWidth="1"/>
  </cols>
  <sheetData>
    <row r="3" ht="20.25" spans="1:11">
      <c r="A3" s="1" t="s">
        <v>246</v>
      </c>
      <c r="B3" s="1"/>
      <c r="C3" s="1"/>
      <c r="D3" s="1"/>
      <c r="E3" s="1"/>
      <c r="F3" s="1"/>
      <c r="G3" s="1"/>
      <c r="H3" s="1"/>
      <c r="I3" s="1"/>
      <c r="J3" s="1"/>
    </row>
    <row r="4" ht="14.25" customHeight="1" spans="1:11">
      <c r="A4" s="2" t="s">
        <v>214</v>
      </c>
      <c r="B4" s="2"/>
      <c r="C4" s="2"/>
      <c r="D4" s="2"/>
      <c r="E4" s="2"/>
      <c r="F4" s="2"/>
      <c r="G4" s="2"/>
      <c r="H4" s="2"/>
      <c r="I4" s="2"/>
      <c r="J4" s="2"/>
    </row>
    <row r="5" ht="16.5" customHeight="1" spans="1:11">
      <c r="A5" s="3" t="s">
        <v>215</v>
      </c>
      <c r="B5" s="3"/>
      <c r="C5" s="4"/>
      <c r="D5" s="4"/>
      <c r="E5" s="4"/>
      <c r="F5" s="5"/>
      <c r="G5" s="6"/>
      <c r="I5" s="26" t="s">
        <v>204</v>
      </c>
      <c r="J5" s="26"/>
    </row>
    <row r="6" ht="33.75" customHeight="1" spans="1:11">
      <c r="A6" s="9" t="s">
        <v>2</v>
      </c>
      <c r="B6" s="27" t="s">
        <v>3</v>
      </c>
      <c r="C6" s="10" t="s">
        <v>4</v>
      </c>
      <c r="D6" s="10" t="s">
        <v>5</v>
      </c>
      <c r="E6" s="10" t="s">
        <v>216</v>
      </c>
      <c r="F6" s="9" t="s">
        <v>6</v>
      </c>
      <c r="G6" s="9" t="s">
        <v>7</v>
      </c>
      <c r="H6" s="9" t="s">
        <v>220</v>
      </c>
      <c r="I6" s="9" t="s">
        <v>221</v>
      </c>
      <c r="J6" s="9" t="s">
        <v>9</v>
      </c>
    </row>
    <row r="7" ht="37.5" customHeight="1" spans="1:11">
      <c r="A7" s="12">
        <v>1</v>
      </c>
      <c r="B7" s="28" t="s">
        <v>222</v>
      </c>
      <c r="C7" s="12" t="s">
        <v>223</v>
      </c>
      <c r="D7" s="12" t="s">
        <v>224</v>
      </c>
      <c r="E7" s="12" t="s">
        <v>225</v>
      </c>
      <c r="F7" s="14" t="s">
        <v>122</v>
      </c>
      <c r="G7" s="29">
        <v>4</v>
      </c>
      <c r="H7" s="15">
        <v>8817</v>
      </c>
      <c r="I7" s="30" t="s">
        <v>226</v>
      </c>
      <c r="J7" s="31"/>
      <c r="K7" s="18"/>
    </row>
    <row r="8" ht="42.75" customHeight="1" spans="1:11">
      <c r="A8" s="12">
        <v>2</v>
      </c>
      <c r="B8" s="28" t="s">
        <v>227</v>
      </c>
      <c r="C8" s="12" t="s">
        <v>228</v>
      </c>
      <c r="D8" s="12" t="s">
        <v>224</v>
      </c>
      <c r="E8" s="12" t="s">
        <v>225</v>
      </c>
      <c r="F8" s="14" t="s">
        <v>122</v>
      </c>
      <c r="G8" s="29">
        <v>1</v>
      </c>
      <c r="H8" s="15">
        <v>1575</v>
      </c>
      <c r="I8" s="30" t="s">
        <v>226</v>
      </c>
      <c r="J8" s="16"/>
      <c r="K8" s="18"/>
    </row>
    <row r="9" ht="42" customHeight="1" spans="1:11">
      <c r="A9" s="12">
        <v>3</v>
      </c>
      <c r="B9" s="28" t="s">
        <v>227</v>
      </c>
      <c r="C9" s="12" t="s">
        <v>229</v>
      </c>
      <c r="D9" s="12" t="s">
        <v>224</v>
      </c>
      <c r="E9" s="12" t="s">
        <v>225</v>
      </c>
      <c r="F9" s="14" t="s">
        <v>122</v>
      </c>
      <c r="G9" s="29">
        <v>1</v>
      </c>
      <c r="H9" s="15">
        <v>1313</v>
      </c>
      <c r="I9" s="30" t="s">
        <v>226</v>
      </c>
      <c r="J9" s="16"/>
      <c r="K9" s="18"/>
    </row>
    <row r="10" ht="30.75" customHeight="1" spans="1:11">
      <c r="A10" s="12">
        <v>4</v>
      </c>
      <c r="B10" s="28" t="s">
        <v>230</v>
      </c>
      <c r="C10" s="12"/>
      <c r="D10" s="12"/>
      <c r="E10" s="12" t="s">
        <v>225</v>
      </c>
      <c r="F10" s="14" t="s">
        <v>122</v>
      </c>
      <c r="G10" s="29">
        <v>2</v>
      </c>
      <c r="H10" s="15">
        <v>470</v>
      </c>
      <c r="I10" s="30" t="s">
        <v>226</v>
      </c>
      <c r="J10" s="16"/>
      <c r="K10" s="18"/>
    </row>
    <row r="11" ht="31.2" customHeight="1" spans="1:11">
      <c r="A11" s="12">
        <v>5</v>
      </c>
      <c r="B11" s="28" t="s">
        <v>231</v>
      </c>
      <c r="C11" s="12"/>
      <c r="D11" s="12" t="s">
        <v>232</v>
      </c>
      <c r="E11" s="12" t="s">
        <v>225</v>
      </c>
      <c r="F11" s="14" t="s">
        <v>122</v>
      </c>
      <c r="G11" s="29">
        <v>1</v>
      </c>
      <c r="H11" s="15">
        <v>235</v>
      </c>
      <c r="I11" s="30" t="s">
        <v>226</v>
      </c>
      <c r="J11" s="17"/>
      <c r="K11" s="18"/>
    </row>
    <row r="12" ht="25.5" customHeight="1" spans="1:11">
      <c r="A12" s="12">
        <v>6</v>
      </c>
      <c r="B12" s="28" t="s">
        <v>233</v>
      </c>
      <c r="C12" s="12" t="s">
        <v>234</v>
      </c>
      <c r="D12" s="12" t="s">
        <v>224</v>
      </c>
      <c r="E12" s="12" t="s">
        <v>225</v>
      </c>
      <c r="F12" s="14" t="s">
        <v>122</v>
      </c>
      <c r="G12" s="29">
        <v>2</v>
      </c>
      <c r="H12" s="15">
        <v>6580</v>
      </c>
      <c r="I12" s="30" t="s">
        <v>226</v>
      </c>
      <c r="J12" s="16"/>
      <c r="K12" s="18"/>
    </row>
    <row r="13" ht="34.8" customHeight="1" spans="1:11">
      <c r="A13" s="12">
        <v>7</v>
      </c>
      <c r="B13" s="28" t="s">
        <v>235</v>
      </c>
      <c r="C13" s="12" t="s">
        <v>236</v>
      </c>
      <c r="D13" s="13" t="s">
        <v>237</v>
      </c>
      <c r="E13" s="12" t="s">
        <v>225</v>
      </c>
      <c r="F13" s="14" t="s">
        <v>122</v>
      </c>
      <c r="G13" s="29">
        <v>2</v>
      </c>
      <c r="H13" s="15">
        <v>2100</v>
      </c>
      <c r="I13" s="30" t="s">
        <v>226</v>
      </c>
      <c r="J13" s="17"/>
      <c r="K13" s="18"/>
    </row>
    <row r="14" ht="38.25" customHeight="1" spans="1:11">
      <c r="A14" s="12">
        <v>8</v>
      </c>
      <c r="B14" s="28" t="s">
        <v>238</v>
      </c>
      <c r="C14" s="12" t="s">
        <v>239</v>
      </c>
      <c r="D14" s="12" t="s">
        <v>224</v>
      </c>
      <c r="E14" s="12" t="s">
        <v>225</v>
      </c>
      <c r="F14" s="14" t="s">
        <v>122</v>
      </c>
      <c r="G14" s="29">
        <v>1</v>
      </c>
      <c r="H14" s="15">
        <v>4700</v>
      </c>
      <c r="I14" s="30" t="s">
        <v>226</v>
      </c>
      <c r="J14" s="17"/>
      <c r="K14" s="18"/>
    </row>
    <row r="15" ht="38.25" customHeight="1" spans="1:11">
      <c r="A15" s="12">
        <v>9</v>
      </c>
      <c r="B15" s="28" t="s">
        <v>227</v>
      </c>
      <c r="C15" s="12" t="s">
        <v>223</v>
      </c>
      <c r="D15" s="12"/>
      <c r="E15" s="12" t="s">
        <v>225</v>
      </c>
      <c r="F15" s="14" t="s">
        <v>122</v>
      </c>
      <c r="G15" s="29">
        <v>1</v>
      </c>
      <c r="H15" s="15">
        <v>1969</v>
      </c>
      <c r="I15" s="30" t="s">
        <v>240</v>
      </c>
      <c r="J15" s="17"/>
      <c r="K15" s="18"/>
    </row>
    <row r="16" ht="38.25" customHeight="1" spans="1:11">
      <c r="A16" s="12">
        <v>10</v>
      </c>
      <c r="B16" s="28" t="s">
        <v>241</v>
      </c>
      <c r="C16" s="12"/>
      <c r="D16" s="12"/>
      <c r="E16" s="12" t="s">
        <v>225</v>
      </c>
      <c r="F16" s="14" t="s">
        <v>122</v>
      </c>
      <c r="G16" s="29">
        <v>1</v>
      </c>
      <c r="H16" s="15">
        <v>3760</v>
      </c>
      <c r="I16" s="30" t="s">
        <v>240</v>
      </c>
      <c r="J16" s="17"/>
      <c r="K16" s="18"/>
    </row>
    <row r="17" ht="38.25" customHeight="1" spans="1:11">
      <c r="A17" s="12">
        <v>11</v>
      </c>
      <c r="B17" s="28" t="s">
        <v>227</v>
      </c>
      <c r="C17" s="12" t="s">
        <v>228</v>
      </c>
      <c r="D17" s="12"/>
      <c r="E17" s="12" t="s">
        <v>225</v>
      </c>
      <c r="F17" s="14" t="s">
        <v>122</v>
      </c>
      <c r="G17" s="29">
        <v>3</v>
      </c>
      <c r="H17" s="15">
        <v>4726</v>
      </c>
      <c r="I17" s="30" t="s">
        <v>242</v>
      </c>
      <c r="J17" s="17"/>
      <c r="K17" s="18"/>
    </row>
    <row r="18" ht="38.25" customHeight="1" spans="1:11">
      <c r="A18" s="12">
        <v>12</v>
      </c>
      <c r="B18" s="28" t="s">
        <v>227</v>
      </c>
      <c r="C18" s="12" t="s">
        <v>223</v>
      </c>
      <c r="D18" s="12"/>
      <c r="E18" s="12" t="s">
        <v>225</v>
      </c>
      <c r="F18" s="14" t="s">
        <v>122</v>
      </c>
      <c r="G18" s="29">
        <v>1</v>
      </c>
      <c r="H18" s="15">
        <v>2128</v>
      </c>
      <c r="I18" s="30" t="s">
        <v>242</v>
      </c>
      <c r="J18" s="17"/>
      <c r="K18" s="18"/>
    </row>
    <row r="19" ht="38.25" customHeight="1" spans="1:11">
      <c r="A19" s="12">
        <v>13</v>
      </c>
      <c r="B19" s="28" t="s">
        <v>243</v>
      </c>
      <c r="C19" s="12"/>
      <c r="D19" s="12"/>
      <c r="E19" s="12" t="s">
        <v>225</v>
      </c>
      <c r="F19" s="14" t="s">
        <v>122</v>
      </c>
      <c r="G19" s="29">
        <v>2</v>
      </c>
      <c r="H19" s="15">
        <v>1410</v>
      </c>
      <c r="I19" s="30" t="s">
        <v>242</v>
      </c>
      <c r="J19" s="17"/>
      <c r="K19" s="18"/>
    </row>
    <row r="20" ht="32.25" customHeight="1" spans="1:11">
      <c r="A20" s="20" t="s">
        <v>211</v>
      </c>
      <c r="B20" s="21"/>
      <c r="C20" s="21"/>
      <c r="D20" s="21"/>
      <c r="E20" s="21"/>
      <c r="F20" s="21"/>
      <c r="G20" s="29">
        <f>SUM(G7:G19)</f>
        <v>22</v>
      </c>
      <c r="H20" s="29">
        <f>SUM(H7:H19)</f>
        <v>39783</v>
      </c>
      <c r="I20" s="29"/>
      <c r="J20" s="23"/>
    </row>
    <row r="21" ht="25.5" customHeight="1" spans="1:11">
      <c r="A21" s="32"/>
      <c r="B21" s="33"/>
      <c r="C21" s="33"/>
      <c r="D21" s="33"/>
      <c r="E21" s="33"/>
      <c r="F21" s="33"/>
      <c r="G21" s="34"/>
      <c r="H21" s="35"/>
      <c r="I21" s="35"/>
    </row>
    <row r="22" spans="1:11">
      <c r="A22" s="24" t="s">
        <v>244</v>
      </c>
      <c r="G22" s="24" t="s">
        <v>245</v>
      </c>
    </row>
    <row r="23" spans="1:11">
      <c r="A23" s="24" t="s">
        <v>212</v>
      </c>
    </row>
    <row r="25" spans="1:11">
      <c r="A25" s="24"/>
      <c r="G25" s="36"/>
    </row>
  </sheetData>
  <autoFilter xmlns:etc="http://www.wps.cn/officeDocument/2017/etCustomData" ref="A6:K20" etc:filterBottomFollowUsedRange="0">
    <extLst/>
  </autoFilter>
  <mergeCells count="4">
    <mergeCell ref="A3:J3"/>
    <mergeCell ref="A4:J4"/>
    <mergeCell ref="I5:J5"/>
    <mergeCell ref="A20:F20"/>
  </mergeCells>
  <pageMargins left="1.10236220472441" right="0.708661417322835" top="0.354330708661417" bottom="0.354330708661417" header="0.31496062992126" footer="0.31496062992126"/>
  <pageSetup paperSize="9" fitToHeight="10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6:F14"/>
  <sheetViews>
    <sheetView workbookViewId="0">
      <selection activeCell="I133" sqref="I133"/>
    </sheetView>
  </sheetViews>
  <sheetFormatPr defaultColWidth="9" defaultRowHeight="13.5" outlineLevelCol="5"/>
  <cols>
    <col min="6" max="6" width="43.1083333333333" customWidth="1"/>
  </cols>
  <sheetData>
    <row r="6" ht="89.25" customHeight="1" spans="3:6">
      <c r="F6" s="25" t="s">
        <v>247</v>
      </c>
    </row>
    <row r="14" spans="3:6">
      <c r="C14" t="s">
        <v>248</v>
      </c>
      <c r="D14">
        <f>0.00785*3.14*0.25*(1000^2-980^2)</f>
        <v>244.0251</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3"/>
  <sheetViews>
    <sheetView workbookViewId="0">
      <pane ySplit="4" topLeftCell="A83" activePane="bottomLeft" state="frozen"/>
      <selection/>
      <selection pane="bottomLeft" activeCell="I133" sqref="I133"/>
    </sheetView>
  </sheetViews>
  <sheetFormatPr defaultColWidth="9" defaultRowHeight="13.5"/>
  <cols>
    <col min="2" max="2" width="16.1083333333333" customWidth="1"/>
    <col min="3" max="3" width="12.1083333333333" customWidth="1"/>
    <col min="4" max="4" width="17.1083333333333" customWidth="1"/>
    <col min="7" max="7" width="14.2166666666667" customWidth="1"/>
    <col min="8" max="8" width="21.3333333333333" customWidth="1"/>
    <col min="9" max="9" width="18.775" customWidth="1"/>
    <col min="10" max="10" width="10.4416666666667" customWidth="1"/>
    <col min="11" max="11" width="11.6666666666667" customWidth="1"/>
  </cols>
  <sheetData>
    <row r="1" ht="20.25" spans="1:11">
      <c r="A1" s="1" t="s">
        <v>249</v>
      </c>
      <c r="B1" s="1"/>
      <c r="C1" s="1"/>
      <c r="D1" s="1"/>
      <c r="E1" s="1"/>
      <c r="F1" s="1"/>
      <c r="G1" s="1"/>
      <c r="H1" s="1"/>
    </row>
    <row r="2" ht="14.25" customHeight="1" spans="1:11">
      <c r="A2" s="2" t="s">
        <v>250</v>
      </c>
      <c r="B2" s="2"/>
      <c r="C2" s="2"/>
      <c r="D2" s="2"/>
      <c r="E2" s="2"/>
      <c r="F2" s="2"/>
      <c r="G2" s="2"/>
      <c r="H2" s="2"/>
    </row>
    <row r="3" ht="14.25" spans="1:11">
      <c r="A3" s="3" t="s">
        <v>251</v>
      </c>
      <c r="B3" s="3"/>
      <c r="C3" s="4"/>
      <c r="D3" s="4"/>
      <c r="E3" s="5"/>
      <c r="F3" s="6"/>
      <c r="G3" s="7"/>
      <c r="H3" s="8" t="s">
        <v>252</v>
      </c>
    </row>
    <row r="4" ht="33.75" customHeight="1" spans="1:11">
      <c r="A4" s="9" t="s">
        <v>2</v>
      </c>
      <c r="B4" s="9" t="s">
        <v>253</v>
      </c>
      <c r="C4" s="10" t="s">
        <v>4</v>
      </c>
      <c r="D4" s="10" t="s">
        <v>254</v>
      </c>
      <c r="E4" s="9" t="s">
        <v>6</v>
      </c>
      <c r="F4" s="9" t="s">
        <v>7</v>
      </c>
      <c r="G4" s="9" t="s">
        <v>220</v>
      </c>
      <c r="H4" s="11" t="s">
        <v>255</v>
      </c>
      <c r="I4" s="9" t="s">
        <v>9</v>
      </c>
    </row>
    <row r="5" ht="48" spans="1:11">
      <c r="A5" s="12">
        <v>1</v>
      </c>
      <c r="B5" s="13" t="s">
        <v>256</v>
      </c>
      <c r="C5" s="12" t="s">
        <v>257</v>
      </c>
      <c r="D5" s="12" t="s">
        <v>258</v>
      </c>
      <c r="E5" s="14" t="s">
        <v>259</v>
      </c>
      <c r="F5" s="12" t="s">
        <v>260</v>
      </c>
      <c r="G5" s="15">
        <f>F5*4.8</f>
        <v>31416</v>
      </c>
      <c r="H5" s="16" t="s">
        <v>261</v>
      </c>
      <c r="I5" s="17" t="s">
        <v>262</v>
      </c>
      <c r="J5" s="18"/>
      <c r="K5" s="19"/>
    </row>
    <row r="6" ht="48" spans="1:11">
      <c r="A6" s="12">
        <v>2</v>
      </c>
      <c r="B6" s="13" t="s">
        <v>256</v>
      </c>
      <c r="C6" s="13" t="s">
        <v>257</v>
      </c>
      <c r="D6" s="12" t="s">
        <v>258</v>
      </c>
      <c r="E6" s="14" t="s">
        <v>259</v>
      </c>
      <c r="F6" s="12">
        <v>3035</v>
      </c>
      <c r="G6" s="15">
        <f t="shared" ref="G6:G8" si="0">F6*4.8</f>
        <v>14568</v>
      </c>
      <c r="H6" s="16" t="s">
        <v>263</v>
      </c>
      <c r="I6" s="17" t="s">
        <v>262</v>
      </c>
      <c r="K6" s="19"/>
    </row>
    <row r="7" ht="48" spans="1:11">
      <c r="A7" s="12">
        <v>3</v>
      </c>
      <c r="B7" s="13" t="s">
        <v>256</v>
      </c>
      <c r="C7" s="13" t="s">
        <v>264</v>
      </c>
      <c r="D7" s="12" t="s">
        <v>258</v>
      </c>
      <c r="E7" s="14" t="s">
        <v>259</v>
      </c>
      <c r="F7" s="12">
        <v>9105</v>
      </c>
      <c r="G7" s="15">
        <f t="shared" si="0"/>
        <v>43704</v>
      </c>
      <c r="H7" s="16" t="s">
        <v>265</v>
      </c>
      <c r="I7" s="17" t="s">
        <v>262</v>
      </c>
      <c r="K7" s="19"/>
    </row>
    <row r="8" ht="48" spans="1:11">
      <c r="A8" s="12">
        <v>4</v>
      </c>
      <c r="B8" s="13" t="s">
        <v>256</v>
      </c>
      <c r="C8" s="13" t="s">
        <v>264</v>
      </c>
      <c r="D8" s="12" t="s">
        <v>258</v>
      </c>
      <c r="E8" s="14" t="s">
        <v>259</v>
      </c>
      <c r="F8" s="12">
        <v>8442</v>
      </c>
      <c r="G8" s="15">
        <f t="shared" si="0"/>
        <v>40521.6</v>
      </c>
      <c r="H8" s="16" t="s">
        <v>266</v>
      </c>
      <c r="I8" s="17" t="s">
        <v>262</v>
      </c>
      <c r="K8" s="19"/>
    </row>
    <row r="9" ht="48" spans="1:11">
      <c r="A9" s="12">
        <v>5</v>
      </c>
      <c r="B9" s="13" t="s">
        <v>267</v>
      </c>
      <c r="C9" s="13" t="s">
        <v>268</v>
      </c>
      <c r="D9" s="12" t="s">
        <v>258</v>
      </c>
      <c r="E9" s="14" t="s">
        <v>259</v>
      </c>
      <c r="F9" s="12">
        <v>4332</v>
      </c>
      <c r="G9" s="15">
        <f>F9*1</f>
        <v>4332</v>
      </c>
      <c r="H9" s="16" t="s">
        <v>263</v>
      </c>
      <c r="I9" s="17"/>
      <c r="K9" s="19"/>
    </row>
    <row r="10" ht="48" spans="1:11">
      <c r="A10" s="12">
        <v>6</v>
      </c>
      <c r="B10" s="13" t="s">
        <v>267</v>
      </c>
      <c r="C10" s="13" t="s">
        <v>268</v>
      </c>
      <c r="D10" s="12" t="s">
        <v>258</v>
      </c>
      <c r="E10" s="14" t="s">
        <v>259</v>
      </c>
      <c r="F10" s="12">
        <v>1800</v>
      </c>
      <c r="G10" s="15">
        <f>F10*1</f>
        <v>1800</v>
      </c>
      <c r="H10" s="16" t="s">
        <v>261</v>
      </c>
      <c r="I10" s="17"/>
      <c r="K10" s="19"/>
    </row>
    <row r="11" ht="48" spans="1:11">
      <c r="A11" s="12">
        <v>7</v>
      </c>
      <c r="B11" s="13" t="s">
        <v>269</v>
      </c>
      <c r="C11" s="13" t="s">
        <v>268</v>
      </c>
      <c r="D11" s="12" t="s">
        <v>258</v>
      </c>
      <c r="E11" s="14" t="s">
        <v>270</v>
      </c>
      <c r="F11" s="12">
        <v>194</v>
      </c>
      <c r="G11" s="15">
        <f>1000*0.776</f>
        <v>776</v>
      </c>
      <c r="H11" s="16" t="s">
        <v>263</v>
      </c>
      <c r="I11" s="17" t="s">
        <v>271</v>
      </c>
      <c r="K11" s="19"/>
    </row>
    <row r="12" ht="48" spans="1:11">
      <c r="A12" s="12">
        <v>8</v>
      </c>
      <c r="B12" s="13" t="s">
        <v>269</v>
      </c>
      <c r="C12" s="13" t="s">
        <v>268</v>
      </c>
      <c r="D12" s="12" t="s">
        <v>258</v>
      </c>
      <c r="E12" s="14" t="s">
        <v>270</v>
      </c>
      <c r="F12" s="12">
        <v>39</v>
      </c>
      <c r="G12" s="15">
        <f>1000*0.156</f>
        <v>156</v>
      </c>
      <c r="H12" s="16" t="s">
        <v>261</v>
      </c>
      <c r="I12" s="17" t="s">
        <v>272</v>
      </c>
      <c r="K12" s="19"/>
    </row>
    <row r="13" ht="24" spans="1:11">
      <c r="A13" s="12">
        <v>9</v>
      </c>
      <c r="B13" s="13" t="s">
        <v>273</v>
      </c>
      <c r="C13" s="13" t="s">
        <v>274</v>
      </c>
      <c r="D13" s="12" t="s">
        <v>275</v>
      </c>
      <c r="E13" s="14" t="s">
        <v>276</v>
      </c>
      <c r="F13" s="12">
        <v>26</v>
      </c>
      <c r="G13" s="15">
        <f>40*0.6*20.44*26</f>
        <v>12754.56</v>
      </c>
      <c r="H13" s="16" t="s">
        <v>277</v>
      </c>
      <c r="I13" s="17"/>
      <c r="K13" s="19"/>
    </row>
    <row r="14" ht="24" spans="1:11">
      <c r="A14" s="12">
        <v>10</v>
      </c>
      <c r="B14" s="13" t="s">
        <v>273</v>
      </c>
      <c r="C14" s="13" t="s">
        <v>278</v>
      </c>
      <c r="D14" s="12" t="s">
        <v>275</v>
      </c>
      <c r="E14" s="14" t="s">
        <v>276</v>
      </c>
      <c r="F14" s="12">
        <v>1</v>
      </c>
      <c r="G14" s="15">
        <f>150*0.6*20.44*1</f>
        <v>1839.6</v>
      </c>
      <c r="H14" s="16" t="s">
        <v>277</v>
      </c>
      <c r="I14" s="17"/>
      <c r="K14" s="19"/>
    </row>
    <row r="15" ht="24" spans="1:11">
      <c r="A15" s="12">
        <v>11</v>
      </c>
      <c r="B15" s="13" t="s">
        <v>273</v>
      </c>
      <c r="C15" s="13" t="s">
        <v>268</v>
      </c>
      <c r="D15" s="12" t="s">
        <v>275</v>
      </c>
      <c r="E15" s="14" t="s">
        <v>276</v>
      </c>
      <c r="F15" s="12">
        <v>18</v>
      </c>
      <c r="G15" s="15">
        <f>(150*0.4*0.942+150*0.6*20.44)*18</f>
        <v>34130.16</v>
      </c>
      <c r="H15" s="16" t="s">
        <v>277</v>
      </c>
      <c r="I15" s="17"/>
      <c r="K15" s="19"/>
    </row>
    <row r="16" ht="24" spans="1:11">
      <c r="A16" s="12">
        <v>12</v>
      </c>
      <c r="B16" s="13" t="s">
        <v>279</v>
      </c>
      <c r="C16" s="13" t="s">
        <v>268</v>
      </c>
      <c r="D16" s="12" t="s">
        <v>275</v>
      </c>
      <c r="E16" s="14" t="s">
        <v>276</v>
      </c>
      <c r="F16" s="12">
        <v>9</v>
      </c>
      <c r="G16" s="15">
        <f>30*0.6*20.44*9</f>
        <v>3311.28</v>
      </c>
      <c r="H16" s="16" t="s">
        <v>277</v>
      </c>
      <c r="I16" s="17"/>
      <c r="K16" s="19"/>
    </row>
    <row r="17" ht="36" spans="1:11">
      <c r="A17" s="12">
        <v>13</v>
      </c>
      <c r="B17" s="13" t="s">
        <v>280</v>
      </c>
      <c r="C17" s="13" t="s">
        <v>281</v>
      </c>
      <c r="D17" s="12" t="s">
        <v>258</v>
      </c>
      <c r="E17" s="14" t="s">
        <v>282</v>
      </c>
      <c r="F17" s="12">
        <v>6</v>
      </c>
      <c r="G17" s="15">
        <f>300*0.7*9.36*6</f>
        <v>11793.6</v>
      </c>
      <c r="H17" s="16" t="s">
        <v>283</v>
      </c>
      <c r="I17" s="17"/>
      <c r="K17" s="19"/>
    </row>
    <row r="18" ht="36" spans="1:11">
      <c r="A18" s="12">
        <v>14</v>
      </c>
      <c r="B18" s="13" t="s">
        <v>284</v>
      </c>
      <c r="C18" s="13" t="s">
        <v>281</v>
      </c>
      <c r="D18" s="12" t="s">
        <v>258</v>
      </c>
      <c r="E18" s="14" t="s">
        <v>282</v>
      </c>
      <c r="F18" s="12">
        <v>6</v>
      </c>
      <c r="G18" s="15">
        <f>300*0.7*9.36*6</f>
        <v>11793.6</v>
      </c>
      <c r="H18" s="16" t="s">
        <v>283</v>
      </c>
      <c r="I18" s="17"/>
      <c r="K18" s="19"/>
    </row>
    <row r="19" ht="48" spans="1:11">
      <c r="A19" s="12">
        <v>15</v>
      </c>
      <c r="B19" s="13" t="s">
        <v>256</v>
      </c>
      <c r="C19" s="13" t="s">
        <v>285</v>
      </c>
      <c r="D19" s="12" t="s">
        <v>258</v>
      </c>
      <c r="E19" s="14" t="s">
        <v>259</v>
      </c>
      <c r="F19" s="12">
        <v>65</v>
      </c>
      <c r="G19" s="15">
        <f t="shared" ref="G19:G20" si="1">F19*4.8</f>
        <v>312</v>
      </c>
      <c r="H19" s="16" t="s">
        <v>286</v>
      </c>
      <c r="I19" s="17" t="s">
        <v>262</v>
      </c>
      <c r="K19" s="19"/>
    </row>
    <row r="20" ht="60" spans="1:11">
      <c r="A20" s="12">
        <v>16</v>
      </c>
      <c r="B20" s="13" t="s">
        <v>256</v>
      </c>
      <c r="C20" s="13" t="s">
        <v>285</v>
      </c>
      <c r="D20" s="12" t="s">
        <v>258</v>
      </c>
      <c r="E20" s="14" t="s">
        <v>259</v>
      </c>
      <c r="F20" s="12">
        <v>300</v>
      </c>
      <c r="G20" s="15">
        <f t="shared" si="1"/>
        <v>1440</v>
      </c>
      <c r="H20" s="16" t="s">
        <v>287</v>
      </c>
      <c r="I20" s="17" t="s">
        <v>262</v>
      </c>
      <c r="K20" s="19"/>
    </row>
    <row r="21" ht="60" spans="1:11">
      <c r="A21" s="12">
        <v>17</v>
      </c>
      <c r="B21" s="13" t="s">
        <v>288</v>
      </c>
      <c r="C21" s="13" t="s">
        <v>289</v>
      </c>
      <c r="D21" s="12" t="s">
        <v>258</v>
      </c>
      <c r="E21" s="14" t="s">
        <v>270</v>
      </c>
      <c r="F21" s="12">
        <v>30</v>
      </c>
      <c r="G21" s="15">
        <f>1*30</f>
        <v>30</v>
      </c>
      <c r="H21" s="16" t="s">
        <v>287</v>
      </c>
      <c r="I21" s="17" t="s">
        <v>290</v>
      </c>
      <c r="K21" s="19"/>
    </row>
    <row r="22" ht="60" spans="1:11">
      <c r="A22" s="12">
        <v>18</v>
      </c>
      <c r="B22" s="13" t="s">
        <v>256</v>
      </c>
      <c r="C22" s="13" t="s">
        <v>285</v>
      </c>
      <c r="D22" s="12" t="s">
        <v>258</v>
      </c>
      <c r="E22" s="14" t="s">
        <v>259</v>
      </c>
      <c r="F22" s="12">
        <v>255</v>
      </c>
      <c r="G22" s="15">
        <f t="shared" ref="G22" si="2">F22*4.8</f>
        <v>1224</v>
      </c>
      <c r="H22" s="16" t="s">
        <v>291</v>
      </c>
      <c r="I22" s="17" t="s">
        <v>262</v>
      </c>
      <c r="K22" s="19"/>
    </row>
    <row r="23" ht="60" spans="1:11">
      <c r="A23" s="12">
        <v>19</v>
      </c>
      <c r="B23" s="13" t="s">
        <v>288</v>
      </c>
      <c r="C23" s="13" t="s">
        <v>289</v>
      </c>
      <c r="D23" s="12" t="s">
        <v>258</v>
      </c>
      <c r="E23" s="14" t="s">
        <v>270</v>
      </c>
      <c r="F23" s="12">
        <v>20</v>
      </c>
      <c r="G23" s="15">
        <f>1*20</f>
        <v>20</v>
      </c>
      <c r="H23" s="16" t="s">
        <v>291</v>
      </c>
      <c r="I23" s="17" t="s">
        <v>292</v>
      </c>
      <c r="K23" s="19"/>
    </row>
    <row r="24" ht="48" spans="1:11">
      <c r="A24" s="12">
        <v>20</v>
      </c>
      <c r="B24" s="13" t="s">
        <v>256</v>
      </c>
      <c r="C24" s="13" t="s">
        <v>285</v>
      </c>
      <c r="D24" s="12" t="s">
        <v>258</v>
      </c>
      <c r="E24" s="14" t="s">
        <v>259</v>
      </c>
      <c r="F24" s="12">
        <v>200</v>
      </c>
      <c r="G24" s="15">
        <f t="shared" ref="G24" si="3">F24*4.8</f>
        <v>960</v>
      </c>
      <c r="H24" s="16" t="s">
        <v>293</v>
      </c>
      <c r="I24" s="17" t="s">
        <v>262</v>
      </c>
      <c r="K24" s="19"/>
    </row>
    <row r="25" ht="48" spans="1:11">
      <c r="A25" s="12">
        <v>21</v>
      </c>
      <c r="B25" s="13" t="s">
        <v>288</v>
      </c>
      <c r="C25" s="13" t="s">
        <v>289</v>
      </c>
      <c r="D25" s="12" t="s">
        <v>258</v>
      </c>
      <c r="E25" s="14" t="s">
        <v>270</v>
      </c>
      <c r="F25" s="12">
        <v>20</v>
      </c>
      <c r="G25" s="15">
        <f>F25*1</f>
        <v>20</v>
      </c>
      <c r="H25" s="16" t="s">
        <v>293</v>
      </c>
      <c r="I25" s="17" t="s">
        <v>292</v>
      </c>
      <c r="K25" s="19"/>
    </row>
    <row r="26" ht="48" spans="1:11">
      <c r="A26" s="12">
        <v>22</v>
      </c>
      <c r="B26" s="13" t="s">
        <v>256</v>
      </c>
      <c r="C26" s="13" t="s">
        <v>285</v>
      </c>
      <c r="D26" s="12" t="s">
        <v>258</v>
      </c>
      <c r="E26" s="14" t="s">
        <v>259</v>
      </c>
      <c r="F26" s="12">
        <v>225</v>
      </c>
      <c r="G26" s="15">
        <f t="shared" ref="G26" si="4">F26*4.8</f>
        <v>1080</v>
      </c>
      <c r="H26" s="16" t="s">
        <v>294</v>
      </c>
      <c r="I26" s="17" t="s">
        <v>262</v>
      </c>
      <c r="K26" s="19"/>
    </row>
    <row r="27" ht="48" spans="1:11">
      <c r="A27" s="12">
        <v>23</v>
      </c>
      <c r="B27" s="13" t="s">
        <v>288</v>
      </c>
      <c r="C27" s="13" t="s">
        <v>289</v>
      </c>
      <c r="D27" s="12" t="s">
        <v>258</v>
      </c>
      <c r="E27" s="14" t="s">
        <v>270</v>
      </c>
      <c r="F27" s="12">
        <v>30</v>
      </c>
      <c r="G27" s="15">
        <f>F27*1</f>
        <v>30</v>
      </c>
      <c r="H27" s="16" t="s">
        <v>294</v>
      </c>
      <c r="I27" s="17" t="s">
        <v>290</v>
      </c>
      <c r="K27" s="19"/>
    </row>
    <row r="28" ht="48" spans="1:11">
      <c r="A28" s="12">
        <v>24</v>
      </c>
      <c r="B28" s="13" t="s">
        <v>256</v>
      </c>
      <c r="C28" s="13" t="s">
        <v>285</v>
      </c>
      <c r="D28" s="12" t="s">
        <v>258</v>
      </c>
      <c r="E28" s="14" t="s">
        <v>259</v>
      </c>
      <c r="F28" s="12">
        <v>265</v>
      </c>
      <c r="G28" s="15">
        <f t="shared" ref="G28" si="5">F28*4.8</f>
        <v>1272</v>
      </c>
      <c r="H28" s="16" t="s">
        <v>295</v>
      </c>
      <c r="I28" s="17" t="s">
        <v>262</v>
      </c>
      <c r="K28" s="19"/>
    </row>
    <row r="29" ht="48" spans="1:11">
      <c r="A29" s="12">
        <v>25</v>
      </c>
      <c r="B29" s="13" t="s">
        <v>288</v>
      </c>
      <c r="C29" s="13" t="s">
        <v>289</v>
      </c>
      <c r="D29" s="12" t="s">
        <v>258</v>
      </c>
      <c r="E29" s="14" t="s">
        <v>270</v>
      </c>
      <c r="F29" s="12">
        <v>20</v>
      </c>
      <c r="G29" s="15">
        <f>F29*1</f>
        <v>20</v>
      </c>
      <c r="H29" s="16" t="s">
        <v>295</v>
      </c>
      <c r="I29" s="17" t="s">
        <v>292</v>
      </c>
      <c r="K29" s="19"/>
    </row>
    <row r="30" ht="48" spans="1:11">
      <c r="A30" s="12">
        <v>26</v>
      </c>
      <c r="B30" s="13" t="s">
        <v>256</v>
      </c>
      <c r="C30" s="13" t="s">
        <v>285</v>
      </c>
      <c r="D30" s="12" t="s">
        <v>258</v>
      </c>
      <c r="E30" s="14" t="s">
        <v>259</v>
      </c>
      <c r="F30" s="12">
        <v>240</v>
      </c>
      <c r="G30" s="15">
        <f t="shared" ref="G30" si="6">F30*4.8</f>
        <v>1152</v>
      </c>
      <c r="H30" s="16" t="s">
        <v>296</v>
      </c>
      <c r="I30" s="17" t="s">
        <v>262</v>
      </c>
      <c r="K30" s="19"/>
    </row>
    <row r="31" ht="48" spans="1:11">
      <c r="A31" s="12">
        <v>27</v>
      </c>
      <c r="B31" s="13" t="s">
        <v>288</v>
      </c>
      <c r="C31" s="13" t="s">
        <v>289</v>
      </c>
      <c r="D31" s="12" t="s">
        <v>258</v>
      </c>
      <c r="E31" s="14" t="s">
        <v>270</v>
      </c>
      <c r="F31" s="12">
        <v>21</v>
      </c>
      <c r="G31" s="15">
        <f>F31*1</f>
        <v>21</v>
      </c>
      <c r="H31" s="16" t="s">
        <v>296</v>
      </c>
      <c r="I31" s="17" t="s">
        <v>297</v>
      </c>
      <c r="K31" s="19"/>
    </row>
    <row r="32" ht="48" spans="1:11">
      <c r="A32" s="12">
        <v>28</v>
      </c>
      <c r="B32" s="13" t="s">
        <v>256</v>
      </c>
      <c r="C32" s="13" t="s">
        <v>285</v>
      </c>
      <c r="D32" s="12" t="s">
        <v>258</v>
      </c>
      <c r="E32" s="14" t="s">
        <v>259</v>
      </c>
      <c r="F32" s="12">
        <v>265</v>
      </c>
      <c r="G32" s="15">
        <f t="shared" ref="G32" si="7">F32*4.8</f>
        <v>1272</v>
      </c>
      <c r="H32" s="16" t="s">
        <v>298</v>
      </c>
      <c r="I32" s="17" t="s">
        <v>262</v>
      </c>
      <c r="K32" s="19"/>
    </row>
    <row r="33" ht="48" spans="1:11">
      <c r="A33" s="12">
        <v>29</v>
      </c>
      <c r="B33" s="13" t="s">
        <v>288</v>
      </c>
      <c r="C33" s="13" t="s">
        <v>289</v>
      </c>
      <c r="D33" s="12" t="s">
        <v>258</v>
      </c>
      <c r="E33" s="14" t="s">
        <v>270</v>
      </c>
      <c r="F33" s="12">
        <v>25</v>
      </c>
      <c r="G33" s="15">
        <f>F33*1</f>
        <v>25</v>
      </c>
      <c r="H33" s="16" t="s">
        <v>298</v>
      </c>
      <c r="I33" s="17" t="s">
        <v>299</v>
      </c>
      <c r="K33" s="19"/>
    </row>
    <row r="34" ht="48" spans="1:11">
      <c r="A34" s="12">
        <v>30</v>
      </c>
      <c r="B34" s="13" t="s">
        <v>256</v>
      </c>
      <c r="C34" s="13" t="s">
        <v>285</v>
      </c>
      <c r="D34" s="12" t="s">
        <v>258</v>
      </c>
      <c r="E34" s="14" t="s">
        <v>259</v>
      </c>
      <c r="F34" s="12">
        <v>280</v>
      </c>
      <c r="G34" s="15">
        <f t="shared" ref="G34" si="8">F34*4.8</f>
        <v>1344</v>
      </c>
      <c r="H34" s="16" t="s">
        <v>300</v>
      </c>
      <c r="I34" s="17" t="s">
        <v>262</v>
      </c>
      <c r="K34" s="19"/>
    </row>
    <row r="35" ht="48" spans="1:11">
      <c r="A35" s="12">
        <v>31</v>
      </c>
      <c r="B35" s="13" t="s">
        <v>288</v>
      </c>
      <c r="C35" s="13" t="s">
        <v>289</v>
      </c>
      <c r="D35" s="12" t="s">
        <v>258</v>
      </c>
      <c r="E35" s="14" t="s">
        <v>270</v>
      </c>
      <c r="F35" s="12">
        <v>25</v>
      </c>
      <c r="G35" s="15">
        <f>F35*1</f>
        <v>25</v>
      </c>
      <c r="H35" s="16" t="s">
        <v>300</v>
      </c>
      <c r="I35" s="17" t="s">
        <v>299</v>
      </c>
      <c r="K35" s="19"/>
    </row>
    <row r="36" ht="48" spans="1:11">
      <c r="A36" s="12">
        <v>32</v>
      </c>
      <c r="B36" s="13" t="s">
        <v>256</v>
      </c>
      <c r="C36" s="13" t="s">
        <v>285</v>
      </c>
      <c r="D36" s="12" t="s">
        <v>258</v>
      </c>
      <c r="E36" s="14" t="s">
        <v>259</v>
      </c>
      <c r="F36" s="12">
        <v>255</v>
      </c>
      <c r="G36" s="15">
        <f t="shared" ref="G36" si="9">F36*4.8</f>
        <v>1224</v>
      </c>
      <c r="H36" s="16" t="s">
        <v>301</v>
      </c>
      <c r="I36" s="17" t="s">
        <v>262</v>
      </c>
      <c r="K36" s="19"/>
    </row>
    <row r="37" ht="48" spans="1:11">
      <c r="A37" s="12">
        <v>33</v>
      </c>
      <c r="B37" s="13" t="s">
        <v>288</v>
      </c>
      <c r="C37" s="13" t="s">
        <v>289</v>
      </c>
      <c r="D37" s="12" t="s">
        <v>258</v>
      </c>
      <c r="E37" s="14" t="s">
        <v>270</v>
      </c>
      <c r="F37" s="12">
        <v>15</v>
      </c>
      <c r="G37" s="15">
        <f>F37*1</f>
        <v>15</v>
      </c>
      <c r="H37" s="16" t="s">
        <v>301</v>
      </c>
      <c r="I37" s="17" t="s">
        <v>302</v>
      </c>
      <c r="K37" s="19"/>
    </row>
    <row r="38" ht="60" spans="1:11">
      <c r="A38" s="12">
        <v>34</v>
      </c>
      <c r="B38" s="13" t="s">
        <v>256</v>
      </c>
      <c r="C38" s="13" t="s">
        <v>285</v>
      </c>
      <c r="D38" s="12" t="s">
        <v>258</v>
      </c>
      <c r="E38" s="14" t="s">
        <v>259</v>
      </c>
      <c r="F38" s="12">
        <v>310</v>
      </c>
      <c r="G38" s="15">
        <f t="shared" ref="G38" si="10">F38*4.8</f>
        <v>1488</v>
      </c>
      <c r="H38" s="16" t="s">
        <v>303</v>
      </c>
      <c r="I38" s="17" t="s">
        <v>262</v>
      </c>
      <c r="K38" s="19"/>
    </row>
    <row r="39" ht="60" spans="1:11">
      <c r="A39" s="12">
        <v>35</v>
      </c>
      <c r="B39" s="13" t="s">
        <v>288</v>
      </c>
      <c r="C39" s="13" t="s">
        <v>289</v>
      </c>
      <c r="D39" s="12" t="s">
        <v>258</v>
      </c>
      <c r="E39" s="14" t="s">
        <v>270</v>
      </c>
      <c r="F39" s="12">
        <v>20</v>
      </c>
      <c r="G39" s="15">
        <f>F39*1</f>
        <v>20</v>
      </c>
      <c r="H39" s="16" t="s">
        <v>303</v>
      </c>
      <c r="I39" s="17" t="s">
        <v>292</v>
      </c>
      <c r="K39" s="19"/>
    </row>
    <row r="40" ht="60" spans="1:11">
      <c r="A40" s="12">
        <v>36</v>
      </c>
      <c r="B40" s="13" t="s">
        <v>256</v>
      </c>
      <c r="C40" s="13" t="s">
        <v>285</v>
      </c>
      <c r="D40" s="12" t="s">
        <v>258</v>
      </c>
      <c r="E40" s="14" t="s">
        <v>259</v>
      </c>
      <c r="F40" s="12">
        <v>300</v>
      </c>
      <c r="G40" s="15">
        <f t="shared" ref="G40" si="11">F40*4.8</f>
        <v>1440</v>
      </c>
      <c r="H40" s="16" t="s">
        <v>304</v>
      </c>
      <c r="I40" s="17" t="s">
        <v>262</v>
      </c>
      <c r="K40" s="19"/>
    </row>
    <row r="41" ht="60" spans="1:11">
      <c r="A41" s="12">
        <v>37</v>
      </c>
      <c r="B41" s="13" t="s">
        <v>288</v>
      </c>
      <c r="C41" s="13" t="s">
        <v>289</v>
      </c>
      <c r="D41" s="12" t="s">
        <v>258</v>
      </c>
      <c r="E41" s="14" t="s">
        <v>270</v>
      </c>
      <c r="F41" s="12">
        <v>20</v>
      </c>
      <c r="G41" s="15">
        <f>F41*1</f>
        <v>20</v>
      </c>
      <c r="H41" s="16" t="s">
        <v>304</v>
      </c>
      <c r="I41" s="17" t="s">
        <v>292</v>
      </c>
      <c r="K41" s="19"/>
    </row>
    <row r="42" ht="60" spans="1:11">
      <c r="A42" s="12">
        <v>38</v>
      </c>
      <c r="B42" s="13" t="s">
        <v>256</v>
      </c>
      <c r="C42" s="13" t="s">
        <v>285</v>
      </c>
      <c r="D42" s="12" t="s">
        <v>258</v>
      </c>
      <c r="E42" s="14" t="s">
        <v>259</v>
      </c>
      <c r="F42" s="12">
        <v>315</v>
      </c>
      <c r="G42" s="15">
        <f t="shared" ref="G42" si="12">F42*4.8</f>
        <v>1512</v>
      </c>
      <c r="H42" s="16" t="s">
        <v>305</v>
      </c>
      <c r="I42" s="17" t="s">
        <v>262</v>
      </c>
      <c r="K42" s="19"/>
    </row>
    <row r="43" ht="60" spans="1:11">
      <c r="A43" s="12">
        <v>39</v>
      </c>
      <c r="B43" s="13" t="s">
        <v>288</v>
      </c>
      <c r="C43" s="13" t="s">
        <v>289</v>
      </c>
      <c r="D43" s="12" t="s">
        <v>258</v>
      </c>
      <c r="E43" s="14" t="s">
        <v>270</v>
      </c>
      <c r="F43" s="12">
        <v>18</v>
      </c>
      <c r="G43" s="15">
        <f>F43*1</f>
        <v>18</v>
      </c>
      <c r="H43" s="16" t="s">
        <v>305</v>
      </c>
      <c r="I43" s="17" t="s">
        <v>306</v>
      </c>
      <c r="K43" s="19"/>
    </row>
    <row r="44" ht="60" spans="1:11">
      <c r="A44" s="12">
        <v>40</v>
      </c>
      <c r="B44" s="13" t="s">
        <v>256</v>
      </c>
      <c r="C44" s="13" t="s">
        <v>285</v>
      </c>
      <c r="D44" s="12" t="s">
        <v>258</v>
      </c>
      <c r="E44" s="14" t="s">
        <v>259</v>
      </c>
      <c r="F44" s="12">
        <v>350</v>
      </c>
      <c r="G44" s="15">
        <f t="shared" ref="G44" si="13">F44*4.8</f>
        <v>1680</v>
      </c>
      <c r="H44" s="16" t="s">
        <v>307</v>
      </c>
      <c r="I44" s="17" t="s">
        <v>262</v>
      </c>
      <c r="K44" s="19"/>
    </row>
    <row r="45" ht="60" spans="1:11">
      <c r="A45" s="12">
        <v>41</v>
      </c>
      <c r="B45" s="13" t="s">
        <v>288</v>
      </c>
      <c r="C45" s="13" t="s">
        <v>289</v>
      </c>
      <c r="D45" s="12" t="s">
        <v>258</v>
      </c>
      <c r="E45" s="14" t="s">
        <v>270</v>
      </c>
      <c r="F45" s="12">
        <v>18</v>
      </c>
      <c r="G45" s="15">
        <f>F45*1</f>
        <v>18</v>
      </c>
      <c r="H45" s="16" t="s">
        <v>307</v>
      </c>
      <c r="I45" s="17" t="s">
        <v>306</v>
      </c>
      <c r="K45" s="19"/>
    </row>
    <row r="46" ht="60" spans="1:11">
      <c r="A46" s="12">
        <v>42</v>
      </c>
      <c r="B46" s="13" t="s">
        <v>256</v>
      </c>
      <c r="C46" s="13" t="s">
        <v>285</v>
      </c>
      <c r="D46" s="12" t="s">
        <v>258</v>
      </c>
      <c r="E46" s="14" t="s">
        <v>259</v>
      </c>
      <c r="F46" s="12">
        <v>212</v>
      </c>
      <c r="G46" s="15">
        <f t="shared" ref="G46" si="14">F46*4.8</f>
        <v>1017.6</v>
      </c>
      <c r="H46" s="16" t="s">
        <v>308</v>
      </c>
      <c r="I46" s="17" t="s">
        <v>262</v>
      </c>
      <c r="K46" s="19"/>
    </row>
    <row r="47" ht="60" spans="1:11">
      <c r="A47" s="12">
        <v>43</v>
      </c>
      <c r="B47" s="13" t="s">
        <v>288</v>
      </c>
      <c r="C47" s="13" t="s">
        <v>289</v>
      </c>
      <c r="D47" s="12" t="s">
        <v>258</v>
      </c>
      <c r="E47" s="14" t="s">
        <v>270</v>
      </c>
      <c r="F47" s="12">
        <v>21</v>
      </c>
      <c r="G47" s="15">
        <f>F47*1</f>
        <v>21</v>
      </c>
      <c r="H47" s="16" t="s">
        <v>308</v>
      </c>
      <c r="I47" s="17" t="s">
        <v>297</v>
      </c>
      <c r="K47" s="19"/>
    </row>
    <row r="48" ht="48" spans="1:11">
      <c r="A48" s="12">
        <v>44</v>
      </c>
      <c r="B48" s="13" t="s">
        <v>256</v>
      </c>
      <c r="C48" s="13" t="s">
        <v>285</v>
      </c>
      <c r="D48" s="12" t="s">
        <v>258</v>
      </c>
      <c r="E48" s="14" t="s">
        <v>259</v>
      </c>
      <c r="F48" s="12">
        <v>285</v>
      </c>
      <c r="G48" s="15">
        <f t="shared" ref="G48" si="15">F48*4.8</f>
        <v>1368</v>
      </c>
      <c r="H48" s="16" t="s">
        <v>309</v>
      </c>
      <c r="I48" s="17" t="s">
        <v>262</v>
      </c>
      <c r="K48" s="19"/>
    </row>
    <row r="49" ht="48" spans="1:11">
      <c r="A49" s="12">
        <v>45</v>
      </c>
      <c r="B49" s="13" t="s">
        <v>288</v>
      </c>
      <c r="C49" s="13" t="s">
        <v>289</v>
      </c>
      <c r="D49" s="12" t="s">
        <v>258</v>
      </c>
      <c r="E49" s="14" t="s">
        <v>270</v>
      </c>
      <c r="F49" s="12">
        <v>25</v>
      </c>
      <c r="G49" s="15">
        <f>F49*1</f>
        <v>25</v>
      </c>
      <c r="H49" s="16" t="s">
        <v>309</v>
      </c>
      <c r="I49" s="17" t="s">
        <v>299</v>
      </c>
      <c r="K49" s="19"/>
    </row>
    <row r="50" ht="60" spans="1:11">
      <c r="A50" s="12">
        <v>46</v>
      </c>
      <c r="B50" s="13" t="s">
        <v>256</v>
      </c>
      <c r="C50" s="13" t="s">
        <v>285</v>
      </c>
      <c r="D50" s="12" t="s">
        <v>258</v>
      </c>
      <c r="E50" s="14" t="s">
        <v>259</v>
      </c>
      <c r="F50" s="12">
        <v>209</v>
      </c>
      <c r="G50" s="15">
        <f t="shared" ref="G50" si="16">F50*4.8</f>
        <v>1003.2</v>
      </c>
      <c r="H50" s="16" t="s">
        <v>310</v>
      </c>
      <c r="I50" s="17" t="s">
        <v>262</v>
      </c>
      <c r="K50" s="19"/>
    </row>
    <row r="51" ht="60" spans="1:11">
      <c r="A51" s="12">
        <v>47</v>
      </c>
      <c r="B51" s="13" t="s">
        <v>288</v>
      </c>
      <c r="C51" s="13" t="s">
        <v>289</v>
      </c>
      <c r="D51" s="12" t="s">
        <v>258</v>
      </c>
      <c r="E51" s="14" t="s">
        <v>270</v>
      </c>
      <c r="F51" s="12">
        <v>20</v>
      </c>
      <c r="G51" s="15">
        <f>F51*1</f>
        <v>20</v>
      </c>
      <c r="H51" s="16" t="s">
        <v>310</v>
      </c>
      <c r="I51" s="17" t="s">
        <v>292</v>
      </c>
      <c r="K51" s="19"/>
    </row>
    <row r="52" ht="48" spans="1:11">
      <c r="A52" s="12">
        <v>48</v>
      </c>
      <c r="B52" s="13" t="s">
        <v>256</v>
      </c>
      <c r="C52" s="13" t="s">
        <v>285</v>
      </c>
      <c r="D52" s="12" t="s">
        <v>258</v>
      </c>
      <c r="E52" s="14" t="s">
        <v>259</v>
      </c>
      <c r="F52" s="12">
        <v>230</v>
      </c>
      <c r="G52" s="15">
        <f t="shared" ref="G52" si="17">F52*4.8</f>
        <v>1104</v>
      </c>
      <c r="H52" s="16" t="s">
        <v>311</v>
      </c>
      <c r="I52" s="17" t="s">
        <v>262</v>
      </c>
      <c r="K52" s="19"/>
    </row>
    <row r="53" ht="48" spans="1:11">
      <c r="A53" s="12">
        <v>49</v>
      </c>
      <c r="B53" s="13" t="s">
        <v>288</v>
      </c>
      <c r="C53" s="13" t="s">
        <v>289</v>
      </c>
      <c r="D53" s="12" t="s">
        <v>258</v>
      </c>
      <c r="E53" s="14" t="s">
        <v>270</v>
      </c>
      <c r="F53" s="12">
        <v>25</v>
      </c>
      <c r="G53" s="15">
        <f>F53*1</f>
        <v>25</v>
      </c>
      <c r="H53" s="16" t="s">
        <v>311</v>
      </c>
      <c r="I53" s="17" t="s">
        <v>299</v>
      </c>
      <c r="K53" s="19"/>
    </row>
    <row r="54" ht="48" spans="1:11">
      <c r="A54" s="12">
        <v>50</v>
      </c>
      <c r="B54" s="13" t="s">
        <v>256</v>
      </c>
      <c r="C54" s="13" t="s">
        <v>285</v>
      </c>
      <c r="D54" s="12" t="s">
        <v>258</v>
      </c>
      <c r="E54" s="14" t="s">
        <v>259</v>
      </c>
      <c r="F54" s="12">
        <v>210</v>
      </c>
      <c r="G54" s="15">
        <f t="shared" ref="G54" si="18">F54*4.8</f>
        <v>1008</v>
      </c>
      <c r="H54" s="16" t="s">
        <v>312</v>
      </c>
      <c r="I54" s="17" t="s">
        <v>262</v>
      </c>
      <c r="K54" s="19"/>
    </row>
    <row r="55" ht="48" spans="1:11">
      <c r="A55" s="12">
        <v>51</v>
      </c>
      <c r="B55" s="13" t="s">
        <v>288</v>
      </c>
      <c r="C55" s="13" t="s">
        <v>289</v>
      </c>
      <c r="D55" s="12" t="s">
        <v>258</v>
      </c>
      <c r="E55" s="14" t="s">
        <v>270</v>
      </c>
      <c r="F55" s="12">
        <v>20</v>
      </c>
      <c r="G55" s="15">
        <f>F55*1</f>
        <v>20</v>
      </c>
      <c r="H55" s="16" t="s">
        <v>312</v>
      </c>
      <c r="I55" s="17" t="s">
        <v>292</v>
      </c>
      <c r="K55" s="19"/>
    </row>
    <row r="56" ht="48" spans="1:11">
      <c r="A56" s="12">
        <v>52</v>
      </c>
      <c r="B56" s="13" t="s">
        <v>256</v>
      </c>
      <c r="C56" s="13" t="s">
        <v>285</v>
      </c>
      <c r="D56" s="12" t="s">
        <v>258</v>
      </c>
      <c r="E56" s="14" t="s">
        <v>259</v>
      </c>
      <c r="F56" s="12">
        <v>230</v>
      </c>
      <c r="G56" s="15">
        <f t="shared" ref="G56" si="19">F56*4.8</f>
        <v>1104</v>
      </c>
      <c r="H56" s="16" t="s">
        <v>313</v>
      </c>
      <c r="I56" s="17" t="s">
        <v>262</v>
      </c>
      <c r="K56" s="19"/>
    </row>
    <row r="57" ht="48" spans="1:11">
      <c r="A57" s="12">
        <v>53</v>
      </c>
      <c r="B57" s="13" t="s">
        <v>288</v>
      </c>
      <c r="C57" s="13" t="s">
        <v>289</v>
      </c>
      <c r="D57" s="12" t="s">
        <v>258</v>
      </c>
      <c r="E57" s="14" t="s">
        <v>270</v>
      </c>
      <c r="F57" s="12">
        <v>18</v>
      </c>
      <c r="G57" s="15">
        <f>F57*1</f>
        <v>18</v>
      </c>
      <c r="H57" s="16" t="s">
        <v>313</v>
      </c>
      <c r="I57" s="17" t="s">
        <v>306</v>
      </c>
      <c r="K57" s="19"/>
    </row>
    <row r="58" ht="24" spans="1:11">
      <c r="A58" s="12">
        <v>54</v>
      </c>
      <c r="B58" s="13" t="s">
        <v>314</v>
      </c>
      <c r="C58" s="13"/>
      <c r="D58" s="12" t="s">
        <v>315</v>
      </c>
      <c r="E58" s="14" t="s">
        <v>276</v>
      </c>
      <c r="F58" s="12">
        <v>6</v>
      </c>
      <c r="G58" s="15">
        <f>150*0.52*1.32*6</f>
        <v>617.76</v>
      </c>
      <c r="H58" s="16" t="s">
        <v>316</v>
      </c>
      <c r="I58" s="17"/>
      <c r="K58" s="19"/>
    </row>
    <row r="59" ht="24" spans="1:11">
      <c r="A59" s="12">
        <v>55</v>
      </c>
      <c r="B59" s="13" t="s">
        <v>317</v>
      </c>
      <c r="C59" s="13"/>
      <c r="D59" s="12" t="s">
        <v>315</v>
      </c>
      <c r="E59" s="14" t="s">
        <v>276</v>
      </c>
      <c r="F59" s="12">
        <v>15</v>
      </c>
      <c r="G59" s="15">
        <f>150*0.25*27.04*15</f>
        <v>15210</v>
      </c>
      <c r="H59" s="16" t="s">
        <v>316</v>
      </c>
      <c r="I59" s="17"/>
      <c r="K59" s="19"/>
    </row>
    <row r="60" ht="24" spans="1:11">
      <c r="A60" s="12">
        <v>56</v>
      </c>
      <c r="B60" s="13" t="s">
        <v>318</v>
      </c>
      <c r="C60" s="13"/>
      <c r="D60" s="12" t="s">
        <v>315</v>
      </c>
      <c r="E60" s="14" t="s">
        <v>276</v>
      </c>
      <c r="F60" s="12">
        <v>16</v>
      </c>
      <c r="G60" s="15">
        <f>150*0.23*1.32*16</f>
        <v>728.64</v>
      </c>
      <c r="H60" s="16" t="s">
        <v>316</v>
      </c>
      <c r="I60" s="17"/>
      <c r="K60" s="19"/>
    </row>
    <row r="61" ht="24" spans="1:11">
      <c r="A61" s="12">
        <v>57</v>
      </c>
      <c r="B61" s="13" t="s">
        <v>314</v>
      </c>
      <c r="C61" s="13"/>
      <c r="D61" s="12" t="s">
        <v>315</v>
      </c>
      <c r="E61" s="14" t="s">
        <v>276</v>
      </c>
      <c r="F61" s="12">
        <v>10</v>
      </c>
      <c r="G61" s="15">
        <f>150*0.52*1.32*10</f>
        <v>1029.6</v>
      </c>
      <c r="H61" s="16" t="s">
        <v>316</v>
      </c>
      <c r="I61" s="17"/>
      <c r="K61" s="19"/>
    </row>
    <row r="62" ht="24" spans="1:11">
      <c r="A62" s="12">
        <v>58</v>
      </c>
      <c r="B62" s="13" t="s">
        <v>317</v>
      </c>
      <c r="C62" s="13"/>
      <c r="D62" s="12" t="s">
        <v>315</v>
      </c>
      <c r="E62" s="14" t="s">
        <v>276</v>
      </c>
      <c r="F62" s="12">
        <v>1</v>
      </c>
      <c r="G62" s="15">
        <f>150*0.25*27.04*1</f>
        <v>1014</v>
      </c>
      <c r="H62" s="16" t="s">
        <v>316</v>
      </c>
      <c r="I62" s="17"/>
      <c r="K62" s="19"/>
    </row>
    <row r="63" ht="48" spans="1:11">
      <c r="A63" s="12">
        <v>59</v>
      </c>
      <c r="B63" s="13" t="s">
        <v>319</v>
      </c>
      <c r="C63" s="13" t="s">
        <v>320</v>
      </c>
      <c r="D63" s="12" t="s">
        <v>258</v>
      </c>
      <c r="E63" s="14" t="s">
        <v>321</v>
      </c>
      <c r="F63" s="12">
        <v>4</v>
      </c>
      <c r="G63" s="15">
        <f>F63*50</f>
        <v>200</v>
      </c>
      <c r="H63" s="16" t="s">
        <v>322</v>
      </c>
      <c r="I63" s="17"/>
      <c r="K63" s="19"/>
    </row>
    <row r="64" ht="48" spans="1:11">
      <c r="A64" s="12">
        <v>60</v>
      </c>
      <c r="B64" s="13" t="s">
        <v>323</v>
      </c>
      <c r="C64" s="13" t="s">
        <v>324</v>
      </c>
      <c r="D64" s="12" t="s">
        <v>258</v>
      </c>
      <c r="E64" s="14" t="s">
        <v>325</v>
      </c>
      <c r="F64" s="12">
        <v>7</v>
      </c>
      <c r="G64" s="15">
        <f>F64*2</f>
        <v>14</v>
      </c>
      <c r="H64" s="16" t="s">
        <v>326</v>
      </c>
      <c r="I64" s="17"/>
      <c r="K64" s="19"/>
    </row>
    <row r="65" ht="48" spans="1:11">
      <c r="A65" s="12">
        <v>61</v>
      </c>
      <c r="B65" s="13" t="s">
        <v>327</v>
      </c>
      <c r="C65" s="13" t="s">
        <v>328</v>
      </c>
      <c r="D65" s="12" t="s">
        <v>258</v>
      </c>
      <c r="E65" s="14" t="s">
        <v>325</v>
      </c>
      <c r="F65" s="12">
        <v>10</v>
      </c>
      <c r="G65" s="15">
        <f>F65*2</f>
        <v>20</v>
      </c>
      <c r="H65" s="16" t="s">
        <v>329</v>
      </c>
      <c r="I65" s="17"/>
      <c r="K65" s="19"/>
    </row>
    <row r="66" ht="48" spans="1:11">
      <c r="A66" s="12">
        <v>62</v>
      </c>
      <c r="B66" s="13" t="s">
        <v>330</v>
      </c>
      <c r="C66" s="13" t="s">
        <v>331</v>
      </c>
      <c r="D66" s="12" t="s">
        <v>258</v>
      </c>
      <c r="E66" s="14" t="s">
        <v>321</v>
      </c>
      <c r="F66" s="12">
        <v>20</v>
      </c>
      <c r="G66" s="15">
        <f>F66*8</f>
        <v>160</v>
      </c>
      <c r="H66" s="16" t="s">
        <v>332</v>
      </c>
      <c r="I66" s="17"/>
      <c r="K66" s="19"/>
    </row>
    <row r="67" ht="48" spans="1:11">
      <c r="A67" s="12">
        <v>63</v>
      </c>
      <c r="B67" s="13" t="s">
        <v>333</v>
      </c>
      <c r="C67" s="13" t="s">
        <v>320</v>
      </c>
      <c r="D67" s="12" t="s">
        <v>258</v>
      </c>
      <c r="E67" s="14" t="s">
        <v>321</v>
      </c>
      <c r="F67" s="12">
        <v>15</v>
      </c>
      <c r="G67" s="15">
        <f>F67*11</f>
        <v>165</v>
      </c>
      <c r="H67" s="16" t="s">
        <v>334</v>
      </c>
      <c r="I67" s="17"/>
      <c r="K67" s="19"/>
    </row>
    <row r="68" ht="48" spans="1:11">
      <c r="A68" s="12">
        <v>64</v>
      </c>
      <c r="B68" s="13" t="s">
        <v>335</v>
      </c>
      <c r="C68" s="13" t="s">
        <v>324</v>
      </c>
      <c r="D68" s="12" t="s">
        <v>258</v>
      </c>
      <c r="E68" s="14" t="s">
        <v>336</v>
      </c>
      <c r="F68" s="12">
        <v>10</v>
      </c>
      <c r="G68" s="15">
        <f>F68*2.66</f>
        <v>26.6</v>
      </c>
      <c r="H68" s="16" t="s">
        <v>337</v>
      </c>
      <c r="I68" s="17"/>
      <c r="K68" s="19"/>
    </row>
    <row r="69" ht="48" spans="1:11">
      <c r="A69" s="12">
        <v>65</v>
      </c>
      <c r="B69" s="13" t="s">
        <v>338</v>
      </c>
      <c r="C69" s="13" t="s">
        <v>331</v>
      </c>
      <c r="D69" s="12" t="s">
        <v>258</v>
      </c>
      <c r="E69" s="14" t="s">
        <v>339</v>
      </c>
      <c r="F69" s="12">
        <v>10</v>
      </c>
      <c r="G69" s="15">
        <f>F69*0.5</f>
        <v>5</v>
      </c>
      <c r="H69" s="16" t="s">
        <v>340</v>
      </c>
      <c r="I69" s="17"/>
      <c r="K69" s="19"/>
    </row>
    <row r="70" ht="48" spans="1:11">
      <c r="A70" s="12">
        <v>66</v>
      </c>
      <c r="B70" s="13" t="s">
        <v>341</v>
      </c>
      <c r="C70" s="13" t="s">
        <v>342</v>
      </c>
      <c r="D70" s="12" t="s">
        <v>258</v>
      </c>
      <c r="E70" s="14" t="s">
        <v>325</v>
      </c>
      <c r="F70" s="12">
        <v>4</v>
      </c>
      <c r="G70" s="15">
        <f>F70*0.8</f>
        <v>3.2</v>
      </c>
      <c r="H70" s="16" t="s">
        <v>343</v>
      </c>
      <c r="I70" s="17"/>
      <c r="K70" s="19"/>
    </row>
    <row r="71" ht="48" spans="1:11">
      <c r="A71" s="12">
        <v>67</v>
      </c>
      <c r="B71" s="13" t="s">
        <v>344</v>
      </c>
      <c r="C71" s="13" t="s">
        <v>342</v>
      </c>
      <c r="D71" s="12" t="s">
        <v>258</v>
      </c>
      <c r="E71" s="14" t="s">
        <v>325</v>
      </c>
      <c r="F71" s="12">
        <v>3</v>
      </c>
      <c r="G71" s="15">
        <f>F71*2</f>
        <v>6</v>
      </c>
      <c r="H71" s="16" t="s">
        <v>343</v>
      </c>
      <c r="I71" s="17"/>
      <c r="K71" s="19"/>
    </row>
    <row r="72" ht="48" spans="1:11">
      <c r="A72" s="12">
        <v>68</v>
      </c>
      <c r="B72" s="13" t="s">
        <v>345</v>
      </c>
      <c r="C72" s="13" t="s">
        <v>342</v>
      </c>
      <c r="D72" s="12" t="s">
        <v>258</v>
      </c>
      <c r="E72" s="14" t="s">
        <v>325</v>
      </c>
      <c r="F72" s="12">
        <v>5</v>
      </c>
      <c r="G72" s="15">
        <f>F72*1.8</f>
        <v>9</v>
      </c>
      <c r="H72" s="16" t="s">
        <v>343</v>
      </c>
      <c r="I72" s="17"/>
      <c r="K72" s="19"/>
    </row>
    <row r="73" ht="48" spans="1:11">
      <c r="A73" s="12">
        <v>69</v>
      </c>
      <c r="B73" s="13" t="s">
        <v>346</v>
      </c>
      <c r="C73" s="13" t="s">
        <v>342</v>
      </c>
      <c r="D73" s="12" t="s">
        <v>258</v>
      </c>
      <c r="E73" s="14" t="s">
        <v>325</v>
      </c>
      <c r="F73" s="12">
        <v>6</v>
      </c>
      <c r="G73" s="15">
        <f>F73*1.6</f>
        <v>9.6</v>
      </c>
      <c r="H73" s="16" t="s">
        <v>343</v>
      </c>
      <c r="I73" s="17"/>
      <c r="K73" s="19"/>
    </row>
    <row r="74" ht="48" spans="1:11">
      <c r="A74" s="12">
        <v>70</v>
      </c>
      <c r="B74" s="13" t="s">
        <v>347</v>
      </c>
      <c r="C74" s="13" t="s">
        <v>342</v>
      </c>
      <c r="D74" s="12" t="s">
        <v>258</v>
      </c>
      <c r="E74" s="14" t="s">
        <v>325</v>
      </c>
      <c r="F74" s="12">
        <v>4</v>
      </c>
      <c r="G74" s="15">
        <f>F74*4</f>
        <v>16</v>
      </c>
      <c r="H74" s="16" t="s">
        <v>343</v>
      </c>
      <c r="I74" s="17"/>
      <c r="K74" s="19"/>
    </row>
    <row r="75" ht="48" spans="1:11">
      <c r="A75" s="12">
        <v>71</v>
      </c>
      <c r="B75" s="13" t="s">
        <v>348</v>
      </c>
      <c r="C75" s="13" t="s">
        <v>342</v>
      </c>
      <c r="D75" s="12" t="s">
        <v>258</v>
      </c>
      <c r="E75" s="14" t="s">
        <v>325</v>
      </c>
      <c r="F75" s="12">
        <v>2</v>
      </c>
      <c r="G75" s="15">
        <f>F75*3</f>
        <v>6</v>
      </c>
      <c r="H75" s="16" t="s">
        <v>343</v>
      </c>
      <c r="I75" s="17"/>
      <c r="K75" s="19"/>
    </row>
    <row r="76" ht="48" spans="1:11">
      <c r="A76" s="12">
        <v>72</v>
      </c>
      <c r="B76" s="13" t="s">
        <v>349</v>
      </c>
      <c r="C76" s="13" t="s">
        <v>350</v>
      </c>
      <c r="D76" s="12" t="s">
        <v>258</v>
      </c>
      <c r="E76" s="14" t="s">
        <v>325</v>
      </c>
      <c r="F76" s="12">
        <v>6</v>
      </c>
      <c r="G76" s="15">
        <f>F76*1.1</f>
        <v>6.6</v>
      </c>
      <c r="H76" s="16" t="s">
        <v>351</v>
      </c>
      <c r="I76" s="17"/>
      <c r="K76" s="19"/>
    </row>
    <row r="77" ht="48" spans="1:11">
      <c r="A77" s="12">
        <v>73</v>
      </c>
      <c r="B77" s="13" t="s">
        <v>352</v>
      </c>
      <c r="C77" s="13" t="s">
        <v>353</v>
      </c>
      <c r="D77" s="12" t="s">
        <v>258</v>
      </c>
      <c r="E77" s="14" t="s">
        <v>325</v>
      </c>
      <c r="F77" s="12">
        <v>5</v>
      </c>
      <c r="G77" s="15">
        <f>F77*1.2</f>
        <v>6</v>
      </c>
      <c r="H77" s="16" t="s">
        <v>351</v>
      </c>
      <c r="I77" s="17"/>
      <c r="K77" s="19"/>
    </row>
    <row r="78" ht="48" spans="1:11">
      <c r="A78" s="12">
        <v>74</v>
      </c>
      <c r="B78" s="13" t="s">
        <v>354</v>
      </c>
      <c r="C78" s="13" t="s">
        <v>355</v>
      </c>
      <c r="D78" s="12" t="s">
        <v>258</v>
      </c>
      <c r="E78" s="14" t="s">
        <v>325</v>
      </c>
      <c r="F78" s="12">
        <v>10</v>
      </c>
      <c r="G78" s="15">
        <f>F78*1.3</f>
        <v>13</v>
      </c>
      <c r="H78" s="16" t="s">
        <v>351</v>
      </c>
      <c r="I78" s="17"/>
      <c r="K78" s="19"/>
    </row>
    <row r="79" ht="48" spans="1:11">
      <c r="A79" s="12">
        <v>75</v>
      </c>
      <c r="B79" s="13" t="s">
        <v>356</v>
      </c>
      <c r="C79" s="13" t="s">
        <v>357</v>
      </c>
      <c r="D79" s="12" t="s">
        <v>258</v>
      </c>
      <c r="E79" s="14" t="s">
        <v>325</v>
      </c>
      <c r="F79" s="12">
        <v>4</v>
      </c>
      <c r="G79" s="15">
        <f>F79*2</f>
        <v>8</v>
      </c>
      <c r="H79" s="16" t="s">
        <v>351</v>
      </c>
      <c r="I79" s="17"/>
      <c r="K79" s="19"/>
    </row>
    <row r="80" ht="48" spans="1:11">
      <c r="A80" s="12">
        <v>76</v>
      </c>
      <c r="B80" s="13" t="s">
        <v>358</v>
      </c>
      <c r="C80" s="13" t="s">
        <v>359</v>
      </c>
      <c r="D80" s="12" t="s">
        <v>258</v>
      </c>
      <c r="E80" s="14" t="s">
        <v>325</v>
      </c>
      <c r="F80" s="12">
        <v>3</v>
      </c>
      <c r="G80" s="15">
        <f>F80*2.1</f>
        <v>6.3</v>
      </c>
      <c r="H80" s="16" t="s">
        <v>351</v>
      </c>
      <c r="I80" s="17"/>
      <c r="K80" s="19"/>
    </row>
    <row r="81" ht="48" spans="1:11">
      <c r="A81" s="12">
        <v>77</v>
      </c>
      <c r="B81" s="13" t="s">
        <v>360</v>
      </c>
      <c r="C81" s="13" t="s">
        <v>361</v>
      </c>
      <c r="D81" s="12" t="s">
        <v>258</v>
      </c>
      <c r="E81" s="14" t="s">
        <v>325</v>
      </c>
      <c r="F81" s="12">
        <v>8</v>
      </c>
      <c r="G81" s="15">
        <f>F81*2</f>
        <v>16</v>
      </c>
      <c r="H81" s="16" t="s">
        <v>351</v>
      </c>
      <c r="I81" s="17"/>
      <c r="K81" s="19"/>
    </row>
    <row r="82" ht="48" spans="1:11">
      <c r="A82" s="12">
        <v>78</v>
      </c>
      <c r="B82" s="13" t="s">
        <v>362</v>
      </c>
      <c r="C82" s="13" t="s">
        <v>363</v>
      </c>
      <c r="D82" s="12" t="s">
        <v>258</v>
      </c>
      <c r="E82" s="14" t="s">
        <v>325</v>
      </c>
      <c r="F82" s="12">
        <v>4</v>
      </c>
      <c r="G82" s="15">
        <f>F82*2.1</f>
        <v>8.4</v>
      </c>
      <c r="H82" s="16" t="s">
        <v>351</v>
      </c>
      <c r="I82" s="17"/>
      <c r="K82" s="19"/>
    </row>
    <row r="83" ht="48" spans="1:11">
      <c r="A83" s="12">
        <v>79</v>
      </c>
      <c r="B83" s="13" t="s">
        <v>364</v>
      </c>
      <c r="C83" s="13" t="s">
        <v>365</v>
      </c>
      <c r="D83" s="12" t="s">
        <v>258</v>
      </c>
      <c r="E83" s="14" t="s">
        <v>366</v>
      </c>
      <c r="F83" s="12">
        <v>10</v>
      </c>
      <c r="G83" s="15">
        <f>F83*0.9</f>
        <v>9</v>
      </c>
      <c r="H83" s="16" t="s">
        <v>351</v>
      </c>
      <c r="I83" s="17"/>
      <c r="K83" s="19"/>
    </row>
    <row r="84" ht="48" spans="1:11">
      <c r="A84" s="12">
        <v>80</v>
      </c>
      <c r="B84" s="13" t="s">
        <v>367</v>
      </c>
      <c r="C84" s="13" t="s">
        <v>368</v>
      </c>
      <c r="D84" s="12" t="s">
        <v>258</v>
      </c>
      <c r="E84" s="14" t="s">
        <v>366</v>
      </c>
      <c r="F84" s="12">
        <v>10</v>
      </c>
      <c r="G84" s="15">
        <f>F84*0.6</f>
        <v>6</v>
      </c>
      <c r="H84" s="16" t="s">
        <v>351</v>
      </c>
      <c r="I84" s="17"/>
      <c r="K84" s="19"/>
    </row>
    <row r="85" ht="60" spans="1:11">
      <c r="A85" s="12">
        <v>81</v>
      </c>
      <c r="B85" s="13" t="s">
        <v>369</v>
      </c>
      <c r="C85" s="13" t="s">
        <v>370</v>
      </c>
      <c r="D85" s="12" t="s">
        <v>258</v>
      </c>
      <c r="E85" s="14" t="s">
        <v>325</v>
      </c>
      <c r="F85" s="12">
        <v>4</v>
      </c>
      <c r="G85" s="15">
        <f>F85*1.2</f>
        <v>4.8</v>
      </c>
      <c r="H85" s="16" t="s">
        <v>371</v>
      </c>
      <c r="I85" s="17"/>
      <c r="K85" s="19"/>
    </row>
    <row r="86" ht="60" spans="1:11">
      <c r="A86" s="12">
        <v>82</v>
      </c>
      <c r="B86" s="13" t="s">
        <v>372</v>
      </c>
      <c r="C86" s="13" t="s">
        <v>373</v>
      </c>
      <c r="D86" s="12" t="s">
        <v>258</v>
      </c>
      <c r="E86" s="14" t="s">
        <v>325</v>
      </c>
      <c r="F86" s="12">
        <v>6</v>
      </c>
      <c r="G86" s="15">
        <f>F86*0.7</f>
        <v>4.2</v>
      </c>
      <c r="H86" s="16" t="s">
        <v>374</v>
      </c>
      <c r="I86" s="17"/>
      <c r="K86" s="19"/>
    </row>
    <row r="87" ht="60" spans="1:11">
      <c r="A87" s="12">
        <v>83</v>
      </c>
      <c r="B87" s="13" t="s">
        <v>375</v>
      </c>
      <c r="C87" s="13" t="s">
        <v>376</v>
      </c>
      <c r="D87" s="12" t="s">
        <v>258</v>
      </c>
      <c r="E87" s="14" t="s">
        <v>325</v>
      </c>
      <c r="F87" s="12">
        <v>20</v>
      </c>
      <c r="G87" s="15">
        <f>F87*0.5</f>
        <v>10</v>
      </c>
      <c r="H87" s="16" t="s">
        <v>377</v>
      </c>
      <c r="I87" s="17"/>
      <c r="K87" s="19"/>
    </row>
    <row r="88" ht="60" spans="1:11">
      <c r="A88" s="12">
        <v>84</v>
      </c>
      <c r="B88" s="13" t="s">
        <v>378</v>
      </c>
      <c r="C88" s="13" t="s">
        <v>379</v>
      </c>
      <c r="D88" s="12" t="s">
        <v>258</v>
      </c>
      <c r="E88" s="14" t="s">
        <v>325</v>
      </c>
      <c r="F88" s="12">
        <v>15</v>
      </c>
      <c r="G88" s="15">
        <f>F88*0.6</f>
        <v>9</v>
      </c>
      <c r="H88" s="16" t="s">
        <v>380</v>
      </c>
      <c r="I88" s="17"/>
      <c r="K88" s="19"/>
    </row>
    <row r="89" ht="60" spans="1:11">
      <c r="A89" s="12">
        <v>85</v>
      </c>
      <c r="B89" s="13" t="s">
        <v>354</v>
      </c>
      <c r="C89" s="13" t="s">
        <v>381</v>
      </c>
      <c r="D89" s="12" t="s">
        <v>258</v>
      </c>
      <c r="E89" s="14" t="s">
        <v>325</v>
      </c>
      <c r="F89" s="12">
        <v>20</v>
      </c>
      <c r="G89" s="15">
        <f>F89*0.6</f>
        <v>12</v>
      </c>
      <c r="H89" s="16" t="s">
        <v>382</v>
      </c>
      <c r="I89" s="17"/>
      <c r="K89" s="19"/>
    </row>
    <row r="90" ht="60" spans="1:11">
      <c r="A90" s="12">
        <v>86</v>
      </c>
      <c r="B90" s="13" t="s">
        <v>383</v>
      </c>
      <c r="C90" s="13" t="s">
        <v>384</v>
      </c>
      <c r="D90" s="12" t="s">
        <v>258</v>
      </c>
      <c r="E90" s="14" t="s">
        <v>325</v>
      </c>
      <c r="F90" s="12">
        <v>4</v>
      </c>
      <c r="G90" s="15">
        <f>F90*1.8</f>
        <v>7.2</v>
      </c>
      <c r="H90" s="16" t="s">
        <v>385</v>
      </c>
      <c r="I90" s="17"/>
      <c r="K90" s="19"/>
    </row>
    <row r="91" ht="60" spans="1:11">
      <c r="A91" s="12">
        <v>87</v>
      </c>
      <c r="B91" s="13" t="s">
        <v>386</v>
      </c>
      <c r="C91" s="13" t="s">
        <v>387</v>
      </c>
      <c r="D91" s="12" t="s">
        <v>258</v>
      </c>
      <c r="E91" s="14" t="s">
        <v>325</v>
      </c>
      <c r="F91" s="12">
        <v>4</v>
      </c>
      <c r="G91" s="15">
        <f>F91*1.2</f>
        <v>4.8</v>
      </c>
      <c r="H91" s="16" t="s">
        <v>388</v>
      </c>
      <c r="I91" s="17"/>
      <c r="K91" s="19"/>
    </row>
    <row r="92" ht="60" spans="1:11">
      <c r="A92" s="12">
        <v>88</v>
      </c>
      <c r="B92" s="13" t="s">
        <v>389</v>
      </c>
      <c r="C92" s="13" t="s">
        <v>390</v>
      </c>
      <c r="D92" s="12" t="s">
        <v>258</v>
      </c>
      <c r="E92" s="14" t="s">
        <v>325</v>
      </c>
      <c r="F92" s="12">
        <v>10</v>
      </c>
      <c r="G92" s="15">
        <f>F92*1.2</f>
        <v>12</v>
      </c>
      <c r="H92" s="16" t="s">
        <v>391</v>
      </c>
      <c r="I92" s="17"/>
      <c r="K92" s="19"/>
    </row>
    <row r="93" ht="60" spans="1:11">
      <c r="A93" s="12">
        <v>89</v>
      </c>
      <c r="B93" s="13" t="s">
        <v>392</v>
      </c>
      <c r="C93" s="13" t="s">
        <v>393</v>
      </c>
      <c r="D93" s="12" t="s">
        <v>258</v>
      </c>
      <c r="E93" s="14" t="s">
        <v>325</v>
      </c>
      <c r="F93" s="12">
        <v>10</v>
      </c>
      <c r="G93" s="15">
        <f>F93*0.5</f>
        <v>5</v>
      </c>
      <c r="H93" s="16" t="s">
        <v>394</v>
      </c>
      <c r="I93" s="17"/>
      <c r="K93" s="19"/>
    </row>
    <row r="94" ht="60" spans="1:11">
      <c r="A94" s="12">
        <v>90</v>
      </c>
      <c r="B94" s="13" t="s">
        <v>395</v>
      </c>
      <c r="C94" s="13" t="s">
        <v>396</v>
      </c>
      <c r="D94" s="12" t="s">
        <v>258</v>
      </c>
      <c r="E94" s="14" t="s">
        <v>325</v>
      </c>
      <c r="F94" s="12">
        <v>20</v>
      </c>
      <c r="G94" s="15">
        <f>F94*2</f>
        <v>40</v>
      </c>
      <c r="H94" s="16" t="s">
        <v>397</v>
      </c>
      <c r="I94" s="17"/>
      <c r="K94" s="19"/>
    </row>
    <row r="95" ht="48" spans="1:11">
      <c r="A95" s="12">
        <v>91</v>
      </c>
      <c r="B95" s="13" t="s">
        <v>398</v>
      </c>
      <c r="C95" s="13" t="s">
        <v>399</v>
      </c>
      <c r="D95" s="12" t="s">
        <v>258</v>
      </c>
      <c r="E95" s="14" t="s">
        <v>400</v>
      </c>
      <c r="F95" s="12">
        <v>0.32</v>
      </c>
      <c r="G95" s="15">
        <f>F95*5500</f>
        <v>1760</v>
      </c>
      <c r="H95" s="16" t="s">
        <v>401</v>
      </c>
      <c r="I95" s="17" t="s">
        <v>262</v>
      </c>
      <c r="K95" s="19"/>
    </row>
    <row r="96" ht="48" spans="1:11">
      <c r="A96" s="12">
        <v>92</v>
      </c>
      <c r="B96" s="13" t="s">
        <v>398</v>
      </c>
      <c r="C96" s="13" t="s">
        <v>399</v>
      </c>
      <c r="D96" s="12" t="s">
        <v>258</v>
      </c>
      <c r="E96" s="14" t="s">
        <v>400</v>
      </c>
      <c r="F96" s="12">
        <v>0.4</v>
      </c>
      <c r="G96" s="15">
        <f t="shared" ref="G96:G101" si="20">F96*5500</f>
        <v>2200</v>
      </c>
      <c r="H96" s="16" t="s">
        <v>402</v>
      </c>
      <c r="I96" s="17" t="s">
        <v>262</v>
      </c>
      <c r="K96" s="19"/>
    </row>
    <row r="97" ht="48" spans="1:11">
      <c r="A97" s="12">
        <v>93</v>
      </c>
      <c r="B97" s="13" t="s">
        <v>398</v>
      </c>
      <c r="C97" s="13" t="s">
        <v>399</v>
      </c>
      <c r="D97" s="12" t="s">
        <v>258</v>
      </c>
      <c r="E97" s="14" t="s">
        <v>400</v>
      </c>
      <c r="F97" s="12">
        <v>0.69</v>
      </c>
      <c r="G97" s="15">
        <f t="shared" si="20"/>
        <v>3795</v>
      </c>
      <c r="H97" s="16" t="s">
        <v>403</v>
      </c>
      <c r="I97" s="17" t="s">
        <v>262</v>
      </c>
      <c r="K97" s="19"/>
    </row>
    <row r="98" ht="48" spans="1:11">
      <c r="A98" s="12">
        <v>94</v>
      </c>
      <c r="B98" s="13" t="s">
        <v>398</v>
      </c>
      <c r="C98" s="13" t="s">
        <v>399</v>
      </c>
      <c r="D98" s="12" t="s">
        <v>258</v>
      </c>
      <c r="E98" s="14" t="s">
        <v>400</v>
      </c>
      <c r="F98" s="12">
        <v>0.32</v>
      </c>
      <c r="G98" s="15">
        <f t="shared" si="20"/>
        <v>1760</v>
      </c>
      <c r="H98" s="16" t="s">
        <v>404</v>
      </c>
      <c r="I98" s="17" t="s">
        <v>262</v>
      </c>
      <c r="K98" s="19"/>
    </row>
    <row r="99" ht="48" spans="1:11">
      <c r="A99" s="12">
        <v>95</v>
      </c>
      <c r="B99" s="13" t="s">
        <v>398</v>
      </c>
      <c r="C99" s="13" t="s">
        <v>399</v>
      </c>
      <c r="D99" s="12" t="s">
        <v>258</v>
      </c>
      <c r="E99" s="14" t="s">
        <v>400</v>
      </c>
      <c r="F99" s="12">
        <v>1.3</v>
      </c>
      <c r="G99" s="15">
        <f t="shared" si="20"/>
        <v>7150</v>
      </c>
      <c r="H99" s="16" t="s">
        <v>405</v>
      </c>
      <c r="I99" s="17" t="s">
        <v>262</v>
      </c>
      <c r="K99" s="19"/>
    </row>
    <row r="100" ht="48" spans="1:11">
      <c r="A100" s="12">
        <v>96</v>
      </c>
      <c r="B100" s="13" t="s">
        <v>398</v>
      </c>
      <c r="C100" s="13" t="s">
        <v>399</v>
      </c>
      <c r="D100" s="12" t="s">
        <v>258</v>
      </c>
      <c r="E100" s="14" t="s">
        <v>400</v>
      </c>
      <c r="F100" s="12">
        <v>1.6</v>
      </c>
      <c r="G100" s="15">
        <f t="shared" si="20"/>
        <v>8800</v>
      </c>
      <c r="H100" s="16" t="s">
        <v>406</v>
      </c>
      <c r="I100" s="17" t="s">
        <v>262</v>
      </c>
      <c r="K100" s="19"/>
    </row>
    <row r="101" ht="48" spans="1:11">
      <c r="A101" s="12">
        <v>97</v>
      </c>
      <c r="B101" s="13" t="s">
        <v>398</v>
      </c>
      <c r="C101" s="13" t="s">
        <v>399</v>
      </c>
      <c r="D101" s="12" t="s">
        <v>258</v>
      </c>
      <c r="E101" s="14" t="s">
        <v>400</v>
      </c>
      <c r="F101" s="12">
        <v>0.5</v>
      </c>
      <c r="G101" s="15">
        <f t="shared" si="20"/>
        <v>2750</v>
      </c>
      <c r="H101" s="16" t="s">
        <v>407</v>
      </c>
      <c r="I101" s="17" t="s">
        <v>262</v>
      </c>
      <c r="K101" s="19"/>
    </row>
    <row r="102" ht="24" spans="1:11">
      <c r="A102" s="12">
        <v>98</v>
      </c>
      <c r="B102" s="13" t="s">
        <v>273</v>
      </c>
      <c r="C102" s="13" t="s">
        <v>268</v>
      </c>
      <c r="D102" s="12" t="s">
        <v>408</v>
      </c>
      <c r="E102" s="14" t="s">
        <v>276</v>
      </c>
      <c r="F102" s="12">
        <v>56</v>
      </c>
      <c r="G102" s="15">
        <f>(150*0.4*0.942+150*0.6*20.44)*56</f>
        <v>106182.72</v>
      </c>
      <c r="H102" s="16" t="s">
        <v>409</v>
      </c>
      <c r="I102" s="17"/>
      <c r="K102" s="19"/>
    </row>
    <row r="103" ht="24" spans="1:11">
      <c r="A103" s="12">
        <v>99</v>
      </c>
      <c r="B103" s="13" t="s">
        <v>318</v>
      </c>
      <c r="C103" s="13" t="s">
        <v>268</v>
      </c>
      <c r="D103" s="12" t="s">
        <v>408</v>
      </c>
      <c r="E103" s="14" t="s">
        <v>276</v>
      </c>
      <c r="F103" s="12">
        <v>2</v>
      </c>
      <c r="G103" s="15">
        <f>150*0.23*1.32*2</f>
        <v>91.08</v>
      </c>
      <c r="H103" s="16" t="s">
        <v>409</v>
      </c>
      <c r="I103" s="17"/>
      <c r="K103" s="19"/>
    </row>
    <row r="104" ht="24" spans="1:11">
      <c r="A104" s="12">
        <v>100</v>
      </c>
      <c r="B104" s="13" t="s">
        <v>269</v>
      </c>
      <c r="C104" s="13" t="s">
        <v>268</v>
      </c>
      <c r="D104" s="12" t="s">
        <v>408</v>
      </c>
      <c r="E104" s="14" t="s">
        <v>270</v>
      </c>
      <c r="F104" s="12">
        <v>15</v>
      </c>
      <c r="G104" s="15">
        <f>F104*1</f>
        <v>15</v>
      </c>
      <c r="H104" s="16" t="s">
        <v>409</v>
      </c>
      <c r="I104" s="17" t="s">
        <v>302</v>
      </c>
      <c r="K104" s="19"/>
    </row>
    <row r="105" ht="24" spans="1:11">
      <c r="A105" s="12">
        <v>101</v>
      </c>
      <c r="B105" s="13" t="s">
        <v>314</v>
      </c>
      <c r="C105" s="13" t="s">
        <v>268</v>
      </c>
      <c r="D105" s="12" t="s">
        <v>408</v>
      </c>
      <c r="E105" s="14" t="s">
        <v>276</v>
      </c>
      <c r="F105" s="12">
        <v>1</v>
      </c>
      <c r="G105" s="15">
        <f>150*0.52*1.32*1</f>
        <v>102.96</v>
      </c>
      <c r="H105" s="16" t="s">
        <v>409</v>
      </c>
      <c r="I105" s="17"/>
      <c r="K105" s="19"/>
    </row>
    <row r="106" ht="24" spans="1:11">
      <c r="A106" s="12">
        <v>102</v>
      </c>
      <c r="B106" s="13" t="s">
        <v>410</v>
      </c>
      <c r="C106" s="13" t="s">
        <v>268</v>
      </c>
      <c r="D106" s="12" t="s">
        <v>408</v>
      </c>
      <c r="E106" s="14" t="s">
        <v>259</v>
      </c>
      <c r="F106" s="12">
        <v>1200</v>
      </c>
      <c r="G106" s="15">
        <f>F106*1</f>
        <v>1200</v>
      </c>
      <c r="H106" s="16" t="s">
        <v>409</v>
      </c>
      <c r="I106" s="17"/>
      <c r="K106" s="19"/>
    </row>
    <row r="107" ht="24" spans="1:11">
      <c r="A107" s="12">
        <v>103</v>
      </c>
      <c r="B107" s="13" t="s">
        <v>411</v>
      </c>
      <c r="C107" s="13" t="s">
        <v>268</v>
      </c>
      <c r="D107" s="12" t="s">
        <v>408</v>
      </c>
      <c r="E107" s="14" t="s">
        <v>321</v>
      </c>
      <c r="F107" s="12">
        <v>7</v>
      </c>
      <c r="G107" s="15">
        <f>30*0.6*20.44*7</f>
        <v>2575.44</v>
      </c>
      <c r="H107" s="16" t="s">
        <v>409</v>
      </c>
      <c r="I107" s="17"/>
      <c r="K107" s="19"/>
    </row>
    <row r="108" ht="24" spans="1:11">
      <c r="A108" s="12">
        <v>104</v>
      </c>
      <c r="B108" s="13" t="s">
        <v>317</v>
      </c>
      <c r="C108" s="13" t="s">
        <v>268</v>
      </c>
      <c r="D108" s="12" t="s">
        <v>408</v>
      </c>
      <c r="E108" s="14" t="s">
        <v>276</v>
      </c>
      <c r="F108" s="12">
        <v>1</v>
      </c>
      <c r="G108" s="15">
        <f>150*0.25*27.04*1</f>
        <v>1014</v>
      </c>
      <c r="H108" s="16" t="s">
        <v>409</v>
      </c>
      <c r="I108" s="17"/>
      <c r="K108" s="19"/>
    </row>
    <row r="109" ht="22.5" customHeight="1" spans="1:11">
      <c r="A109" s="20" t="s">
        <v>211</v>
      </c>
      <c r="B109" s="21"/>
      <c r="C109" s="21"/>
      <c r="D109" s="21"/>
      <c r="E109" s="21"/>
      <c r="F109" s="12">
        <f>SUM(F5:F108)</f>
        <v>34033.13</v>
      </c>
      <c r="G109" s="22">
        <f>SUM(G5:G108)</f>
        <v>396137.1</v>
      </c>
      <c r="H109" s="17"/>
      <c r="I109" s="23"/>
    </row>
    <row r="111" spans="1:11">
      <c r="A111" s="24" t="s">
        <v>412</v>
      </c>
      <c r="D111" s="24" t="s">
        <v>413</v>
      </c>
      <c r="H111" s="24" t="s">
        <v>414</v>
      </c>
    </row>
    <row r="113" spans="1:1">
      <c r="A113" s="24" t="s">
        <v>415</v>
      </c>
    </row>
  </sheetData>
  <autoFilter xmlns:etc="http://www.wps.cn/officeDocument/2017/etCustomData" ref="A4:J109" etc:filterBottomFollowUsedRange="0">
    <extLst/>
  </autoFilter>
  <mergeCells count="3">
    <mergeCell ref="A1:H1"/>
    <mergeCell ref="A2:H2"/>
    <mergeCell ref="A109:E109"/>
  </mergeCells>
  <pageMargins left="1.10236220472441" right="0.708661417322835" top="0.354330708661417" bottom="0.354330708661417"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评估明细表</vt:lpstr>
      <vt:lpstr>计算过程</vt:lpstr>
      <vt:lpstr>计算过程 (2)</vt:lpstr>
      <vt:lpstr>评估明细表 (2)</vt:lpstr>
      <vt:lpstr>Sheet1</vt:lpstr>
      <vt:lpstr>有计算式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木翔九歌</cp:lastModifiedBy>
  <dcterms:created xsi:type="dcterms:W3CDTF">2006-09-13T11:21:00Z</dcterms:created>
  <cp:lastPrinted>2025-03-05T03:47:00Z</cp:lastPrinted>
  <dcterms:modified xsi:type="dcterms:W3CDTF">2025-12-12T01:19:39Z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E90C8341CE4944C3B7C142F28C4BB0FD_13</vt:lpwstr>
  </property>
  <property fmtid="{D5CDD505-2E9C-101B-9397-08002B2CF9AE}" pid="4" name="CalculationRule">
    <vt:i4>0</vt:i4>
  </property>
</Properties>
</file>